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33.xml" ContentType="application/vnd.ms-excel.controlproperties+xml"/>
  <Override PartName="/xl/ctrlProps/ctrlProp234.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mc:AlternateContent xmlns:mc="http://schemas.openxmlformats.org/markup-compatibility/2006">
    <mc:Choice Requires="x15">
      <x15ac:absPath xmlns:x15ac="http://schemas.microsoft.com/office/spreadsheetml/2010/11/ac" url="Z:\全社共有\技術部\101【HP関係】■評価協ホームページ掲載資料等■\410【Excel省エネ外皮計算シート】\02_RC造等共同住宅(標準入力型)\"/>
    </mc:Choice>
  </mc:AlternateContent>
  <xr:revisionPtr revIDLastSave="0" documentId="13_ncr:1_{7EAD5DB5-7347-4078-BF04-C79E03F83500}" xr6:coauthVersionLast="47" xr6:coauthVersionMax="47" xr10:uidLastSave="{00000000-0000-0000-0000-000000000000}"/>
  <workbookProtection workbookAlgorithmName="SHA-512" workbookHashValue="OeDkHQIK+JrSvFO/G83Nxrjt0rxWDtfNNuccSADM3tT5f4KITKBcp/BwnGpRoREKr+HR77U8klYF87E/enoFFw==" workbookSaltValue="NFFRWYCIw6pcwtHQ/uTnTQ==" workbookSpinCount="100000" lockStructure="1"/>
  <bookViews>
    <workbookView xWindow="3375" yWindow="0" windowWidth="22830" windowHeight="15090" xr2:uid="{5EA4A80A-1469-4B8D-A88B-6F6AE9FE122B}"/>
  </bookViews>
  <sheets>
    <sheet name="共通条件・結果" sheetId="78" r:id="rId1"/>
    <sheet name="Ａ（北）" sheetId="126" r:id="rId2"/>
    <sheet name="Ａ（北東）" sheetId="145" r:id="rId3"/>
    <sheet name="Ａ（東）" sheetId="146" r:id="rId4"/>
    <sheet name="Ａ（南東）" sheetId="147" r:id="rId5"/>
    <sheet name="Ａ（南）" sheetId="148" r:id="rId6"/>
    <sheet name="Ａ（南西）" sheetId="149" r:id="rId7"/>
    <sheet name="Ａ（西）" sheetId="150" r:id="rId8"/>
    <sheet name="Ａ（北西）" sheetId="151" r:id="rId9"/>
    <sheet name="Ｂ（熱橋部）" sheetId="142" r:id="rId10"/>
    <sheet name="Ｃ（屋根・床等）" sheetId="157" r:id="rId11"/>
    <sheet name="D（基礎）" sheetId="161" r:id="rId12"/>
    <sheet name="【付録】" sheetId="160" r:id="rId13"/>
    <sheet name="外皮計算についてのQ&amp;A" sheetId="162" r:id="rId14"/>
    <sheet name="日射熱取得の考え方" sheetId="159" r:id="rId15"/>
    <sheet name="熱橋の考え方 (H28年)" sheetId="154" r:id="rId16"/>
    <sheet name="更新履歴" sheetId="156" r:id="rId17"/>
  </sheets>
  <externalReferences>
    <externalReference r:id="rId18"/>
  </externalReferences>
  <definedNames>
    <definedName name="_xlnm.Print_Area" localSheetId="12">【付録】!$A$1:$AC$45</definedName>
    <definedName name="_xlnm.Print_Area" localSheetId="7">'Ａ（西）'!$B$2:$AE$48</definedName>
    <definedName name="_xlnm.Print_Area" localSheetId="3">'Ａ（東）'!$B$2:$AE$48</definedName>
    <definedName name="_xlnm.Print_Area" localSheetId="5">'Ａ（南）'!$B$2:$AE$48</definedName>
    <definedName name="_xlnm.Print_Area" localSheetId="6">'Ａ（南西）'!$B$2:$AE$48</definedName>
    <definedName name="_xlnm.Print_Area" localSheetId="4">'Ａ（南東）'!$B$2:$AE$48</definedName>
    <definedName name="_xlnm.Print_Area" localSheetId="1">'Ａ（北）'!$B$2:$AE$48</definedName>
    <definedName name="_xlnm.Print_Area" localSheetId="8">'Ａ（北西）'!$B$2:$AE$48</definedName>
    <definedName name="_xlnm.Print_Area" localSheetId="2">'Ａ（北東）'!$B$2:$AE$48</definedName>
    <definedName name="_xlnm.Print_Area" localSheetId="9">'Ｂ（熱橋部）'!$B$2:$AF$41</definedName>
    <definedName name="_xlnm.Print_Area" localSheetId="10">'Ｃ（屋根・床等）'!$B$2:$X$35</definedName>
    <definedName name="_xlnm.Print_Area" localSheetId="11">'D（基礎）'!$B$2:$AC$46</definedName>
    <definedName name="_xlnm.Print_Area" localSheetId="13">'外皮計算についてのQ&amp;A'!$A$1:$AB$58</definedName>
    <definedName name="_xlnm.Print_Area" localSheetId="0">共通条件・結果!$B$2:$AC$30</definedName>
    <definedName name="_xlnm.Print_Area" localSheetId="16">更新履歴!$B$2:$G$26</definedName>
    <definedName name="_xlnm.Print_Area" localSheetId="14">日射熱取得の考え方!$B$2:$L$47</definedName>
    <definedName name="_xlnm.Print_Area" localSheetId="15">'熱橋の考え方 (H28年)'!$B$2:$T$51</definedName>
    <definedName name="夏方位係数" localSheetId="12">#REF!</definedName>
    <definedName name="夏方位係数" localSheetId="11">'D（基礎）'!$AM$35:$AN$42</definedName>
    <definedName name="夏方位係数">#REF!</definedName>
    <definedName name="水平" localSheetId="9">'Ｂ（熱橋部）'!$Y$45:$Y$49</definedName>
    <definedName name="西" localSheetId="9">'Ｂ（熱橋部）'!$W$45:$W$49</definedName>
    <definedName name="冬方位係数" localSheetId="12">#REF!</definedName>
    <definedName name="冬方位係数" localSheetId="11">'D（基礎）'!$AO$35:$AP$42</definedName>
    <definedName name="冬方位係数">#REF!</definedName>
    <definedName name="東" localSheetId="9">'Ｂ（熱橋部）'!$S$45:$S$49</definedName>
    <definedName name="南" localSheetId="9">'Ｂ（熱橋部）'!$U$45:$U$49</definedName>
    <definedName name="南西" localSheetId="9">'Ｂ（熱橋部）'!$V$45:$V$49</definedName>
    <definedName name="南東" localSheetId="9">'Ｂ（熱橋部）'!$T$45:$T$49</definedName>
    <definedName name="方位" localSheetId="9">'Ｂ（熱橋部）'!$Q$44:$Y$44</definedName>
    <definedName name="方位" localSheetId="11">'D（基礎）'!$AE$35:$AE$42</definedName>
    <definedName name="方位">[1]新!$AE$35:$AE$42</definedName>
    <definedName name="方位基礎" localSheetId="12">#REF!</definedName>
    <definedName name="方位基礎">#REF!</definedName>
    <definedName name="北" localSheetId="9">'Ｂ（熱橋部）'!$Q$45:$Q$49</definedName>
    <definedName name="北西" localSheetId="9">'Ｂ（熱橋部）'!$X$45:$X$49</definedName>
    <definedName name="北東" localSheetId="9">'Ｂ（熱橋部）'!$R$45:$R$49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78" l="1"/>
  <c r="T18" i="78" s="1"/>
  <c r="O17" i="78"/>
  <c r="AR20" i="78"/>
  <c r="AQ20" i="78"/>
  <c r="AP20" i="78"/>
  <c r="AO20" i="78"/>
  <c r="AN20" i="78"/>
  <c r="AM20" i="78"/>
  <c r="AL20" i="78"/>
  <c r="AK20" i="78"/>
  <c r="AJ20" i="78"/>
  <c r="AH20" i="78"/>
  <c r="AG20" i="78"/>
  <c r="AH3" i="160" l="1"/>
  <c r="T7" i="142" l="1"/>
  <c r="X7" i="142"/>
  <c r="T8" i="142"/>
  <c r="X8" i="142"/>
  <c r="T9" i="142"/>
  <c r="X9" i="142"/>
  <c r="T10" i="142"/>
  <c r="X10" i="142"/>
  <c r="T11" i="142"/>
  <c r="X11" i="142"/>
  <c r="T12" i="142"/>
  <c r="X12" i="142"/>
  <c r="T13" i="142"/>
  <c r="X13" i="142"/>
  <c r="T14" i="142"/>
  <c r="X14" i="142"/>
  <c r="T15" i="142"/>
  <c r="X15" i="142"/>
  <c r="T16" i="142"/>
  <c r="X16" i="142"/>
  <c r="Z8" i="149"/>
  <c r="Z9" i="149"/>
  <c r="Z10" i="149"/>
  <c r="Z11" i="149"/>
  <c r="Z12" i="149"/>
  <c r="Z13" i="149"/>
  <c r="AH3" i="126" l="1"/>
  <c r="AH3" i="145"/>
  <c r="AH3" i="146"/>
  <c r="AH3" i="147"/>
  <c r="AH3" i="148"/>
  <c r="AH3" i="149"/>
  <c r="AH3" i="150"/>
  <c r="AH3" i="151"/>
  <c r="AH3" i="142"/>
  <c r="AH3" i="157"/>
  <c r="AH3" i="161"/>
  <c r="AT22" i="145" l="1"/>
  <c r="AS22" i="145" s="1"/>
  <c r="AT21" i="145"/>
  <c r="AS21" i="145" s="1"/>
  <c r="AT22" i="146"/>
  <c r="AS22" i="146" s="1"/>
  <c r="AT21" i="146"/>
  <c r="AS21" i="146" s="1"/>
  <c r="AT22" i="147"/>
  <c r="AS22" i="147" s="1"/>
  <c r="AT21" i="147"/>
  <c r="AS21" i="147" s="1"/>
  <c r="AT22" i="148"/>
  <c r="AS22" i="148" s="1"/>
  <c r="AT21" i="148"/>
  <c r="AS21" i="148" s="1"/>
  <c r="AT22" i="149"/>
  <c r="AS22" i="149" s="1"/>
  <c r="AT21" i="149"/>
  <c r="AS21" i="149" s="1"/>
  <c r="AT22" i="150"/>
  <c r="AS22" i="150" s="1"/>
  <c r="AT21" i="150"/>
  <c r="AS21" i="150" s="1"/>
  <c r="AT22" i="151"/>
  <c r="AS22" i="151" s="1"/>
  <c r="AT21" i="151"/>
  <c r="AS21" i="151" s="1"/>
  <c r="AT22" i="126"/>
  <c r="AS22" i="126" s="1"/>
  <c r="AT21" i="126"/>
  <c r="AS21" i="126" s="1"/>
  <c r="AD21" i="145" l="1"/>
  <c r="AD21" i="146"/>
  <c r="AD21" i="147"/>
  <c r="AD21" i="148"/>
  <c r="AD21" i="149"/>
  <c r="AD21" i="150"/>
  <c r="AD21" i="151"/>
  <c r="AD21" i="126"/>
  <c r="AC45" i="151"/>
  <c r="S45" i="151"/>
  <c r="O45" i="151"/>
  <c r="AC45" i="150"/>
  <c r="S45" i="150"/>
  <c r="O45" i="150"/>
  <c r="AC45" i="149"/>
  <c r="S45" i="149"/>
  <c r="O45" i="149"/>
  <c r="AC45" i="148"/>
  <c r="S45" i="148"/>
  <c r="O45" i="148"/>
  <c r="AC45" i="147"/>
  <c r="S45" i="147"/>
  <c r="O45" i="147"/>
  <c r="AC45" i="146"/>
  <c r="S45" i="146"/>
  <c r="O45" i="146"/>
  <c r="AC45" i="145"/>
  <c r="S45" i="145"/>
  <c r="O45" i="145"/>
  <c r="S45" i="126"/>
  <c r="AD22" i="151" l="1"/>
  <c r="AD23" i="151" s="1"/>
  <c r="AB22" i="151"/>
  <c r="Z22" i="151"/>
  <c r="AB21" i="151"/>
  <c r="Z21" i="151"/>
  <c r="AD22" i="150"/>
  <c r="AD23" i="150" s="1"/>
  <c r="AB22" i="150"/>
  <c r="Z22" i="150"/>
  <c r="AB21" i="150"/>
  <c r="Z21" i="150"/>
  <c r="AD22" i="149"/>
  <c r="AD23" i="149" s="1"/>
  <c r="AB22" i="149"/>
  <c r="Z22" i="149"/>
  <c r="AB21" i="149"/>
  <c r="Z21" i="149"/>
  <c r="AD22" i="148"/>
  <c r="AD23" i="148" s="1"/>
  <c r="AB22" i="148"/>
  <c r="Z22" i="148"/>
  <c r="AB21" i="148"/>
  <c r="Z21" i="148"/>
  <c r="AD22" i="147"/>
  <c r="AD23" i="147" s="1"/>
  <c r="AB22" i="147"/>
  <c r="Z22" i="147"/>
  <c r="AB21" i="147"/>
  <c r="Z21" i="147"/>
  <c r="AD22" i="146"/>
  <c r="AD23" i="146" s="1"/>
  <c r="AB22" i="146"/>
  <c r="Z22" i="146"/>
  <c r="AB21" i="146"/>
  <c r="Z21" i="146"/>
  <c r="AD22" i="145"/>
  <c r="AD23" i="145" s="1"/>
  <c r="AB22" i="145"/>
  <c r="Z22" i="145"/>
  <c r="AB21" i="145"/>
  <c r="Z21" i="145"/>
  <c r="AD22" i="126"/>
  <c r="AD23" i="126" s="1"/>
  <c r="AB22" i="126"/>
  <c r="Z22" i="126"/>
  <c r="AB23" i="151" l="1"/>
  <c r="AB23" i="150"/>
  <c r="Z23" i="150"/>
  <c r="Z23" i="146"/>
  <c r="AB23" i="148"/>
  <c r="Z23" i="151"/>
  <c r="AB23" i="146"/>
  <c r="AB23" i="147"/>
  <c r="AB23" i="149"/>
  <c r="Z23" i="147"/>
  <c r="Z23" i="149"/>
  <c r="Z23" i="145"/>
  <c r="AB23" i="145"/>
  <c r="Z23" i="148"/>
  <c r="AI20" i="78" l="1"/>
  <c r="AA7" i="160"/>
  <c r="AA8" i="160"/>
  <c r="AA9" i="160"/>
  <c r="AA10" i="160"/>
  <c r="AA11" i="160"/>
  <c r="W35" i="161" l="1"/>
  <c r="T43" i="161" l="1"/>
  <c r="T44" i="161"/>
  <c r="Q43" i="161"/>
  <c r="Q44" i="161"/>
  <c r="W36" i="161"/>
  <c r="W37" i="161"/>
  <c r="W38" i="161"/>
  <c r="W39" i="161"/>
  <c r="W40" i="161"/>
  <c r="W41" i="161"/>
  <c r="W42" i="161"/>
  <c r="W43" i="161"/>
  <c r="W44" i="161"/>
  <c r="AG36" i="161"/>
  <c r="AG37" i="161"/>
  <c r="AG38" i="161"/>
  <c r="AG39" i="161"/>
  <c r="AG40" i="161"/>
  <c r="AG41" i="161"/>
  <c r="AG42" i="161"/>
  <c r="AG43" i="161"/>
  <c r="AG44" i="161"/>
  <c r="AG35" i="161"/>
  <c r="Q23" i="161"/>
  <c r="Q22" i="161"/>
  <c r="Q24" i="161"/>
  <c r="Q25" i="161"/>
  <c r="Q26" i="161"/>
  <c r="Q27" i="161"/>
  <c r="Q28" i="161"/>
  <c r="Q29" i="161"/>
  <c r="W45" i="161" l="1"/>
  <c r="H45" i="161"/>
  <c r="AK44" i="161"/>
  <c r="AJ44" i="161"/>
  <c r="AK43" i="161"/>
  <c r="AJ43" i="161"/>
  <c r="H30" i="161"/>
  <c r="D29" i="161"/>
  <c r="B29" i="161"/>
  <c r="D28" i="161"/>
  <c r="B28" i="161"/>
  <c r="D27" i="161"/>
  <c r="B27" i="161"/>
  <c r="D26" i="161"/>
  <c r="B26" i="161"/>
  <c r="D25" i="161"/>
  <c r="B25" i="161"/>
  <c r="D24" i="161"/>
  <c r="B24" i="161"/>
  <c r="D23" i="161"/>
  <c r="B23" i="161"/>
  <c r="D22" i="161"/>
  <c r="B22" i="161"/>
  <c r="H15" i="161"/>
  <c r="AJ13" i="160"/>
  <c r="AH13" i="160" s="1"/>
  <c r="AI13" i="160"/>
  <c r="AG13" i="160"/>
  <c r="AE13" i="160"/>
  <c r="AA13" i="160"/>
  <c r="Y13" i="160"/>
  <c r="AJ12" i="160"/>
  <c r="AH12" i="160" s="1"/>
  <c r="AI12" i="160"/>
  <c r="AG12" i="160"/>
  <c r="AE12" i="160"/>
  <c r="AA12" i="160"/>
  <c r="Y12" i="160"/>
  <c r="AJ11" i="160"/>
  <c r="AH11" i="160" s="1"/>
  <c r="AI11" i="160"/>
  <c r="AG11" i="160"/>
  <c r="AE11" i="160"/>
  <c r="AF11" i="160" s="1"/>
  <c r="Y11" i="160"/>
  <c r="AJ10" i="160"/>
  <c r="AH10" i="160" s="1"/>
  <c r="AI10" i="160"/>
  <c r="AG10" i="160"/>
  <c r="AE10" i="160"/>
  <c r="Y10" i="160"/>
  <c r="AJ9" i="160"/>
  <c r="AH9" i="160" s="1"/>
  <c r="AI9" i="160"/>
  <c r="AG9" i="160"/>
  <c r="AE9" i="160"/>
  <c r="Y9" i="160"/>
  <c r="AJ8" i="160"/>
  <c r="AH8" i="160" s="1"/>
  <c r="AI8" i="160"/>
  <c r="AG8" i="160"/>
  <c r="AE8" i="160"/>
  <c r="Y8" i="160"/>
  <c r="AJ7" i="160"/>
  <c r="AH7" i="160" s="1"/>
  <c r="AI7" i="160"/>
  <c r="AG7" i="160"/>
  <c r="AE7" i="160"/>
  <c r="Y7" i="160"/>
  <c r="AJ6" i="160"/>
  <c r="AH6" i="160" s="1"/>
  <c r="AI6" i="160"/>
  <c r="AG6" i="160"/>
  <c r="AE6" i="160"/>
  <c r="AA6" i="160"/>
  <c r="Y6" i="160"/>
  <c r="AF7" i="160" l="1"/>
  <c r="AF10" i="160"/>
  <c r="AF13" i="160"/>
  <c r="AF8" i="160"/>
  <c r="AF6" i="160"/>
  <c r="AF9" i="160"/>
  <c r="AF12" i="160"/>
  <c r="Q30" i="161"/>
  <c r="R29" i="126"/>
  <c r="AB4" i="126" l="1"/>
  <c r="AP37" i="161" l="1"/>
  <c r="AK37" i="161" s="1"/>
  <c r="T37" i="161" s="1"/>
  <c r="AJ22" i="126"/>
  <c r="AJ21" i="126"/>
  <c r="AB21" i="126" s="1"/>
  <c r="AB23" i="126" s="1"/>
  <c r="AP12" i="126"/>
  <c r="AM12" i="126" s="1"/>
  <c r="AP11" i="126"/>
  <c r="AP10" i="126"/>
  <c r="AM10" i="126" s="1"/>
  <c r="AD9" i="147" l="1"/>
  <c r="AA9" i="157" l="1"/>
  <c r="P8" i="157"/>
  <c r="P9" i="157"/>
  <c r="T19" i="157"/>
  <c r="R9" i="157"/>
  <c r="R8" i="157"/>
  <c r="P10" i="157"/>
  <c r="R10" i="157" l="1"/>
  <c r="R11" i="157"/>
  <c r="R12" i="157"/>
  <c r="P11" i="157"/>
  <c r="P12" i="157"/>
  <c r="AP9" i="149"/>
  <c r="AP10" i="149"/>
  <c r="AP11" i="149"/>
  <c r="AP12" i="149"/>
  <c r="AP13" i="149"/>
  <c r="AP14" i="149"/>
  <c r="AP8" i="149"/>
  <c r="AP9" i="148"/>
  <c r="AP10" i="148"/>
  <c r="AP11" i="148"/>
  <c r="AP12" i="148"/>
  <c r="AP13" i="148"/>
  <c r="AP14" i="148"/>
  <c r="AP8" i="148"/>
  <c r="AP9" i="147"/>
  <c r="AP10" i="147"/>
  <c r="AP11" i="147"/>
  <c r="AP12" i="147"/>
  <c r="AP13" i="147"/>
  <c r="AP14" i="147"/>
  <c r="AP8" i="147"/>
  <c r="P13" i="157" l="1"/>
  <c r="R13" i="157"/>
  <c r="R29" i="151"/>
  <c r="AB41" i="151"/>
  <c r="AB40" i="151"/>
  <c r="AD13" i="150"/>
  <c r="AD13" i="147"/>
  <c r="AD12" i="147"/>
  <c r="AD13" i="146"/>
  <c r="AD12" i="146"/>
  <c r="AD10" i="146"/>
  <c r="AD9" i="146"/>
  <c r="AB32" i="146"/>
  <c r="AB31" i="146"/>
  <c r="Z32" i="146"/>
  <c r="Z31" i="146"/>
  <c r="AB31" i="147"/>
  <c r="AB30" i="147"/>
  <c r="Z31" i="147"/>
  <c r="Z30" i="147"/>
  <c r="AB32" i="151"/>
  <c r="AB31" i="151"/>
  <c r="Z32" i="151"/>
  <c r="Z31" i="151"/>
  <c r="AB32" i="150"/>
  <c r="AB31" i="150"/>
  <c r="Z32" i="150"/>
  <c r="Z31" i="150"/>
  <c r="AB41" i="126"/>
  <c r="AB40" i="126"/>
  <c r="AB41" i="145"/>
  <c r="AB40" i="145"/>
  <c r="AB41" i="146"/>
  <c r="AB40" i="146"/>
  <c r="AB41" i="147"/>
  <c r="AB40" i="147"/>
  <c r="AB42" i="147" s="1"/>
  <c r="AB41" i="148"/>
  <c r="AB40" i="148"/>
  <c r="AB41" i="149"/>
  <c r="AB40" i="149"/>
  <c r="AB41" i="150"/>
  <c r="AB40" i="150"/>
  <c r="AD32" i="126"/>
  <c r="AD31" i="126"/>
  <c r="AD32" i="145"/>
  <c r="AD30" i="145"/>
  <c r="AD32" i="146"/>
  <c r="AD31" i="146"/>
  <c r="AD31" i="147"/>
  <c r="AD30" i="147"/>
  <c r="AD32" i="149"/>
  <c r="AD31" i="149"/>
  <c r="AD30" i="149"/>
  <c r="AD32" i="151"/>
  <c r="AD31" i="151"/>
  <c r="AD30" i="151"/>
  <c r="AD32" i="150"/>
  <c r="AD31" i="150"/>
  <c r="AA8" i="157"/>
  <c r="Z9" i="157"/>
  <c r="T9" i="157" s="1"/>
  <c r="AA10" i="157"/>
  <c r="Z10" i="157" s="1"/>
  <c r="T10" i="157"/>
  <c r="AA11" i="157"/>
  <c r="Z11" i="157" s="1"/>
  <c r="T11" i="157"/>
  <c r="AA12" i="157"/>
  <c r="Z12" i="157" s="1"/>
  <c r="T12" i="157"/>
  <c r="X28" i="142"/>
  <c r="X17" i="142"/>
  <c r="X18" i="142"/>
  <c r="X19" i="142"/>
  <c r="X20" i="142"/>
  <c r="X21" i="142"/>
  <c r="X22" i="142"/>
  <c r="X23" i="142"/>
  <c r="X24" i="142"/>
  <c r="X25" i="142"/>
  <c r="X26" i="142"/>
  <c r="X27" i="142"/>
  <c r="X29" i="142"/>
  <c r="X30" i="142"/>
  <c r="X31" i="142"/>
  <c r="X32" i="142"/>
  <c r="X33" i="142"/>
  <c r="X34" i="142"/>
  <c r="X35" i="142"/>
  <c r="X36" i="142"/>
  <c r="AT8" i="145"/>
  <c r="AS8" i="145" s="1"/>
  <c r="AD8" i="145" s="1"/>
  <c r="AT9" i="145"/>
  <c r="AS9" i="145" s="1"/>
  <c r="AD9" i="145"/>
  <c r="AT10" i="145"/>
  <c r="AS10" i="145" s="1"/>
  <c r="AD10" i="145"/>
  <c r="AT11" i="145"/>
  <c r="AS11" i="145" s="1"/>
  <c r="AD11" i="145"/>
  <c r="AT12" i="145"/>
  <c r="AS12" i="145" s="1"/>
  <c r="AD12" i="145"/>
  <c r="AT13" i="145"/>
  <c r="AS13" i="145" s="1"/>
  <c r="AD13" i="145"/>
  <c r="AT14" i="145"/>
  <c r="AS14" i="145" s="1"/>
  <c r="AD14" i="145"/>
  <c r="R29" i="145"/>
  <c r="AD29" i="145" s="1"/>
  <c r="AT8" i="146"/>
  <c r="AS8" i="146" s="1"/>
  <c r="AD8" i="146" s="1"/>
  <c r="AT9" i="146"/>
  <c r="AS9" i="146" s="1"/>
  <c r="AT10" i="146"/>
  <c r="AS10" i="146" s="1"/>
  <c r="AT11" i="146"/>
  <c r="AS11" i="146" s="1"/>
  <c r="AD11" i="146"/>
  <c r="AT12" i="146"/>
  <c r="AS12" i="146" s="1"/>
  <c r="AT13" i="146"/>
  <c r="AS13" i="146" s="1"/>
  <c r="AT14" i="146"/>
  <c r="AS14" i="146" s="1"/>
  <c r="AD14" i="146"/>
  <c r="R29" i="146"/>
  <c r="AD29" i="146"/>
  <c r="AT8" i="147"/>
  <c r="AS8" i="147" s="1"/>
  <c r="AD8" i="147" s="1"/>
  <c r="AT9" i="147"/>
  <c r="AS9" i="147" s="1"/>
  <c r="AT10" i="147"/>
  <c r="AS10" i="147" s="1"/>
  <c r="AD10" i="147" s="1"/>
  <c r="AT11" i="147"/>
  <c r="AS11" i="147" s="1"/>
  <c r="AD11" i="147" s="1"/>
  <c r="AT12" i="147"/>
  <c r="AS12" i="147" s="1"/>
  <c r="AT13" i="147"/>
  <c r="AS13" i="147" s="1"/>
  <c r="AT14" i="147"/>
  <c r="AS14" i="147" s="1"/>
  <c r="AD14" i="147"/>
  <c r="R29" i="147"/>
  <c r="AT8" i="148"/>
  <c r="AS8" i="148" s="1"/>
  <c r="AD8" i="148" s="1"/>
  <c r="AT9" i="148"/>
  <c r="AS9" i="148" s="1"/>
  <c r="AD9" i="148"/>
  <c r="AT10" i="148"/>
  <c r="AS10" i="148" s="1"/>
  <c r="AD10" i="148"/>
  <c r="AT11" i="148"/>
  <c r="AS11" i="148" s="1"/>
  <c r="AD11" i="148"/>
  <c r="AT12" i="148"/>
  <c r="AS12" i="148" s="1"/>
  <c r="AD12" i="148"/>
  <c r="AT13" i="148"/>
  <c r="AS13" i="148" s="1"/>
  <c r="AD13" i="148"/>
  <c r="AT14" i="148"/>
  <c r="AS14" i="148" s="1"/>
  <c r="AD14" i="148"/>
  <c r="R29" i="148"/>
  <c r="AT8" i="149"/>
  <c r="AS8" i="149" s="1"/>
  <c r="AD8" i="149" s="1"/>
  <c r="AT9" i="149"/>
  <c r="AS9" i="149" s="1"/>
  <c r="AD9" i="149"/>
  <c r="AT10" i="149"/>
  <c r="AS10" i="149" s="1"/>
  <c r="AD10" i="149"/>
  <c r="AT11" i="149"/>
  <c r="AS11" i="149" s="1"/>
  <c r="AD11" i="149"/>
  <c r="AT12" i="149"/>
  <c r="AS12" i="149" s="1"/>
  <c r="AD12" i="149"/>
  <c r="AT13" i="149"/>
  <c r="AS13" i="149" s="1"/>
  <c r="AD13" i="149"/>
  <c r="AT14" i="149"/>
  <c r="AS14" i="149" s="1"/>
  <c r="AD14" i="149"/>
  <c r="R29" i="149"/>
  <c r="AD29" i="149"/>
  <c r="AT8" i="150"/>
  <c r="AT9" i="150"/>
  <c r="AT10" i="150"/>
  <c r="AT11" i="150"/>
  <c r="AT12" i="150"/>
  <c r="AS12" i="150" s="1"/>
  <c r="AD12" i="150"/>
  <c r="AT13" i="150"/>
  <c r="AS13" i="150" s="1"/>
  <c r="AT14" i="150"/>
  <c r="AS14" i="150" s="1"/>
  <c r="AD14" i="150"/>
  <c r="R29" i="150"/>
  <c r="AT8" i="151"/>
  <c r="AS8" i="151" s="1"/>
  <c r="AD8" i="151" s="1"/>
  <c r="AT9" i="151"/>
  <c r="AS9" i="151" s="1"/>
  <c r="AD9" i="151"/>
  <c r="AT10" i="151"/>
  <c r="AS10" i="151" s="1"/>
  <c r="AD10" i="151"/>
  <c r="AT11" i="151"/>
  <c r="AS11" i="151" s="1"/>
  <c r="AD11" i="151"/>
  <c r="AT12" i="151"/>
  <c r="AS12" i="151" s="1"/>
  <c r="AD12" i="151"/>
  <c r="AT13" i="151"/>
  <c r="AS13" i="151" s="1"/>
  <c r="AD13" i="151"/>
  <c r="AT14" i="151"/>
  <c r="AS14" i="151" s="1"/>
  <c r="AD14" i="151"/>
  <c r="AD29" i="151"/>
  <c r="J19" i="157"/>
  <c r="J20" i="157"/>
  <c r="T20" i="157" s="1"/>
  <c r="J21" i="157"/>
  <c r="T21" i="157" s="1"/>
  <c r="J22" i="157"/>
  <c r="T22" i="157"/>
  <c r="J23" i="157"/>
  <c r="T23" i="157"/>
  <c r="J24" i="157"/>
  <c r="T24" i="157"/>
  <c r="J25" i="157"/>
  <c r="T25" i="157"/>
  <c r="J26" i="157"/>
  <c r="R26" i="157"/>
  <c r="O45" i="126"/>
  <c r="R30" i="126"/>
  <c r="AD30" i="126" s="1"/>
  <c r="R31" i="126"/>
  <c r="R32" i="126"/>
  <c r="R33" i="126"/>
  <c r="AD33" i="126"/>
  <c r="R30" i="145"/>
  <c r="R31" i="145"/>
  <c r="R32" i="145"/>
  <c r="R33" i="145"/>
  <c r="AD33" i="145"/>
  <c r="R30" i="146"/>
  <c r="AD30" i="146"/>
  <c r="R31" i="146"/>
  <c r="R32" i="146"/>
  <c r="R33" i="146"/>
  <c r="AD33" i="146"/>
  <c r="R30" i="147"/>
  <c r="R31" i="147"/>
  <c r="R32" i="147"/>
  <c r="AD32" i="147"/>
  <c r="R33" i="147"/>
  <c r="AD33" i="147"/>
  <c r="R30" i="148"/>
  <c r="AD30" i="148"/>
  <c r="R31" i="148"/>
  <c r="AD31" i="148"/>
  <c r="R32" i="148"/>
  <c r="AD32" i="148"/>
  <c r="R33" i="148"/>
  <c r="AD33" i="148" s="1"/>
  <c r="R30" i="149"/>
  <c r="R31" i="149"/>
  <c r="R32" i="149"/>
  <c r="R33" i="149"/>
  <c r="AD33" i="149"/>
  <c r="R30" i="150"/>
  <c r="AD30" i="150" s="1"/>
  <c r="R31" i="150"/>
  <c r="R32" i="150"/>
  <c r="R33" i="150"/>
  <c r="AD33" i="150"/>
  <c r="R30" i="151"/>
  <c r="R31" i="151"/>
  <c r="R32" i="151"/>
  <c r="R33" i="151"/>
  <c r="AD33" i="151"/>
  <c r="P32" i="157"/>
  <c r="Z4" i="151"/>
  <c r="AP10" i="151"/>
  <c r="AM10" i="151" s="1"/>
  <c r="AP11" i="151"/>
  <c r="AM11" i="151"/>
  <c r="AP12" i="151"/>
  <c r="AM12" i="151"/>
  <c r="AP13" i="151"/>
  <c r="AM13" i="151" s="1"/>
  <c r="AP14" i="151"/>
  <c r="AM14" i="151"/>
  <c r="AB4" i="151"/>
  <c r="AQ10" i="151"/>
  <c r="AN10" i="151"/>
  <c r="AQ11" i="151"/>
  <c r="AN11" i="151"/>
  <c r="AQ12" i="151"/>
  <c r="AN12" i="151"/>
  <c r="AQ13" i="151"/>
  <c r="AN13" i="151"/>
  <c r="AQ14" i="151"/>
  <c r="AN14" i="151"/>
  <c r="AB4" i="150"/>
  <c r="AQ9" i="150"/>
  <c r="AN9" i="150"/>
  <c r="AQ10" i="150"/>
  <c r="AN10" i="150" s="1"/>
  <c r="AQ11" i="150"/>
  <c r="AN11" i="150"/>
  <c r="AQ12" i="150"/>
  <c r="AN12" i="150"/>
  <c r="AQ13" i="150"/>
  <c r="AN13" i="150" s="1"/>
  <c r="AQ14" i="150"/>
  <c r="AN14" i="150"/>
  <c r="Z4" i="150"/>
  <c r="AP9" i="150"/>
  <c r="AM9" i="150" s="1"/>
  <c r="AP10" i="150"/>
  <c r="AM10" i="150"/>
  <c r="AP11" i="150"/>
  <c r="AM11" i="150"/>
  <c r="AP12" i="150"/>
  <c r="AM12" i="150" s="1"/>
  <c r="AP13" i="150"/>
  <c r="AM13" i="150"/>
  <c r="AP14" i="150"/>
  <c r="AM14" i="150"/>
  <c r="AB4" i="149"/>
  <c r="AQ9" i="149"/>
  <c r="AN9" i="149"/>
  <c r="AQ10" i="149"/>
  <c r="AN10" i="149"/>
  <c r="AQ11" i="149"/>
  <c r="AN11" i="149" s="1"/>
  <c r="AQ12" i="149"/>
  <c r="AN12" i="149"/>
  <c r="AQ13" i="149"/>
  <c r="AN13" i="149"/>
  <c r="AQ14" i="149"/>
  <c r="AN14" i="149" s="1"/>
  <c r="Z4" i="149"/>
  <c r="AM9" i="149"/>
  <c r="AM10" i="149"/>
  <c r="AM11" i="149"/>
  <c r="AM12" i="149"/>
  <c r="AM13" i="149"/>
  <c r="AM14" i="149"/>
  <c r="AQ8" i="148"/>
  <c r="AN8" i="148"/>
  <c r="AB4" i="148"/>
  <c r="AQ9" i="148"/>
  <c r="AN9" i="148"/>
  <c r="AQ10" i="148"/>
  <c r="AN10" i="148"/>
  <c r="AQ11" i="148"/>
  <c r="AN11" i="148" s="1"/>
  <c r="AQ12" i="148"/>
  <c r="AN12" i="148"/>
  <c r="AQ13" i="148"/>
  <c r="AN13" i="148"/>
  <c r="AQ14" i="148"/>
  <c r="AN14" i="148" s="1"/>
  <c r="AM8" i="148"/>
  <c r="Z4" i="148"/>
  <c r="AM9" i="148"/>
  <c r="AM10" i="148"/>
  <c r="AM11" i="148"/>
  <c r="AM12" i="148"/>
  <c r="AM13" i="148"/>
  <c r="AM14" i="148"/>
  <c r="AB4" i="147"/>
  <c r="AQ9" i="147"/>
  <c r="AN9" i="147" s="1"/>
  <c r="AQ10" i="147"/>
  <c r="AN10" i="147"/>
  <c r="AQ11" i="147"/>
  <c r="AN11" i="147"/>
  <c r="AQ12" i="147"/>
  <c r="AN12" i="147" s="1"/>
  <c r="AQ13" i="147"/>
  <c r="AN13" i="147"/>
  <c r="AQ14" i="147"/>
  <c r="AN14" i="147"/>
  <c r="Z4" i="147"/>
  <c r="AM9" i="147"/>
  <c r="AM10" i="147"/>
  <c r="AM11" i="147"/>
  <c r="AM12" i="147"/>
  <c r="AM13" i="147"/>
  <c r="AM14" i="147"/>
  <c r="AB4" i="146"/>
  <c r="AQ9" i="146"/>
  <c r="AN9" i="146"/>
  <c r="AQ10" i="146"/>
  <c r="AN10" i="146"/>
  <c r="AQ11" i="146"/>
  <c r="AN11" i="146"/>
  <c r="AQ13" i="146"/>
  <c r="AN13" i="146"/>
  <c r="AQ14" i="146"/>
  <c r="AN14" i="146"/>
  <c r="Z4" i="146"/>
  <c r="AP9" i="146"/>
  <c r="AM9" i="146"/>
  <c r="AP10" i="146"/>
  <c r="AM10" i="146" s="1"/>
  <c r="AP11" i="146"/>
  <c r="AM11" i="146"/>
  <c r="AP13" i="146"/>
  <c r="AM13" i="146"/>
  <c r="AP14" i="146"/>
  <c r="AM14" i="146" s="1"/>
  <c r="AQ8" i="145"/>
  <c r="AN8" i="145"/>
  <c r="AB4" i="145"/>
  <c r="AQ9" i="145"/>
  <c r="AN9" i="145" s="1"/>
  <c r="AQ10" i="145"/>
  <c r="AN10" i="145"/>
  <c r="AQ11" i="145"/>
  <c r="AN11" i="145"/>
  <c r="AQ13" i="145"/>
  <c r="AN13" i="145" s="1"/>
  <c r="AQ14" i="145"/>
  <c r="AN14" i="145"/>
  <c r="AP8" i="145"/>
  <c r="AM8" i="145"/>
  <c r="Z4" i="145"/>
  <c r="AI32" i="145" s="1"/>
  <c r="AP9" i="145"/>
  <c r="AM9" i="145"/>
  <c r="AP10" i="145"/>
  <c r="AM10" i="145"/>
  <c r="AP11" i="145"/>
  <c r="AM11" i="145"/>
  <c r="AP13" i="145"/>
  <c r="AM13" i="145"/>
  <c r="AP14" i="145"/>
  <c r="AM14" i="145"/>
  <c r="AC45" i="126"/>
  <c r="AD29" i="126"/>
  <c r="AQ9" i="126"/>
  <c r="AN9" i="126"/>
  <c r="AQ10" i="126"/>
  <c r="AN10" i="126" s="1"/>
  <c r="AQ11" i="126"/>
  <c r="AN11" i="126" s="1"/>
  <c r="AQ13" i="126"/>
  <c r="AN13" i="126"/>
  <c r="AQ14" i="126"/>
  <c r="AN14" i="126"/>
  <c r="Z4" i="126"/>
  <c r="AI21" i="126" s="1"/>
  <c r="AP9" i="126"/>
  <c r="AM9" i="126" s="1"/>
  <c r="AM11" i="126"/>
  <c r="AP13" i="126"/>
  <c r="AM13" i="126" s="1"/>
  <c r="AP14" i="126"/>
  <c r="AM14" i="126"/>
  <c r="R25" i="157"/>
  <c r="R24" i="157"/>
  <c r="P23" i="157"/>
  <c r="R23" i="157"/>
  <c r="R22" i="157"/>
  <c r="P21" i="157"/>
  <c r="R21" i="157"/>
  <c r="P22" i="157"/>
  <c r="P25" i="157"/>
  <c r="P24" i="157"/>
  <c r="P20" i="157"/>
  <c r="R20" i="157"/>
  <c r="R19" i="157"/>
  <c r="AK8" i="142"/>
  <c r="R35" i="142"/>
  <c r="V35" i="142" s="1"/>
  <c r="P35" i="142"/>
  <c r="T35" i="142"/>
  <c r="R34" i="142"/>
  <c r="V34" i="142" s="1"/>
  <c r="P34" i="142"/>
  <c r="T34" i="142"/>
  <c r="R33" i="142"/>
  <c r="V33" i="142" s="1"/>
  <c r="P33" i="142"/>
  <c r="T33" i="142"/>
  <c r="AL14" i="142"/>
  <c r="AK14" i="142"/>
  <c r="AL13" i="142"/>
  <c r="R29" i="142"/>
  <c r="V29" i="142" s="1"/>
  <c r="AL8" i="142"/>
  <c r="R10" i="142"/>
  <c r="V10" i="142" s="1"/>
  <c r="AK13" i="142"/>
  <c r="P29" i="142"/>
  <c r="T29" i="142"/>
  <c r="AK9" i="142"/>
  <c r="P12" i="142"/>
  <c r="AL12" i="142"/>
  <c r="AK12" i="142"/>
  <c r="AL11" i="142"/>
  <c r="R25" i="142"/>
  <c r="V25" i="142" s="1"/>
  <c r="AK11" i="142"/>
  <c r="P11" i="142"/>
  <c r="AL10" i="142"/>
  <c r="R20" i="142"/>
  <c r="V20" i="142" s="1"/>
  <c r="AK10" i="142"/>
  <c r="AL9" i="142"/>
  <c r="R14" i="142"/>
  <c r="V14" i="142" s="1"/>
  <c r="AL7" i="142"/>
  <c r="AK7" i="142"/>
  <c r="AQ9" i="151"/>
  <c r="AN9" i="151"/>
  <c r="AP9" i="151"/>
  <c r="AM9" i="151"/>
  <c r="AQ8" i="151"/>
  <c r="AN8" i="151"/>
  <c r="AP8" i="151"/>
  <c r="AM8" i="151"/>
  <c r="AI8" i="151" s="1"/>
  <c r="Z8" i="151" s="1"/>
  <c r="AQ8" i="150"/>
  <c r="AN8" i="150"/>
  <c r="AP8" i="150"/>
  <c r="AM8" i="150"/>
  <c r="AQ8" i="149"/>
  <c r="AN8" i="149"/>
  <c r="AM8" i="149"/>
  <c r="AQ8" i="147"/>
  <c r="AN8" i="147" s="1"/>
  <c r="AM8" i="147"/>
  <c r="AQ12" i="146"/>
  <c r="AN12" i="146"/>
  <c r="AP12" i="146"/>
  <c r="AM12" i="146"/>
  <c r="AQ8" i="146"/>
  <c r="AN8" i="146"/>
  <c r="AP8" i="146"/>
  <c r="AM8" i="146"/>
  <c r="AQ12" i="145"/>
  <c r="AN12" i="145" s="1"/>
  <c r="AP12" i="145"/>
  <c r="AM12" i="145" s="1"/>
  <c r="AT14" i="126"/>
  <c r="AS14" i="126" s="1"/>
  <c r="AD14" i="126"/>
  <c r="AT13" i="126"/>
  <c r="AS13" i="126" s="1"/>
  <c r="AD13" i="126"/>
  <c r="AT12" i="126"/>
  <c r="AS12" i="126" s="1"/>
  <c r="AD12" i="126"/>
  <c r="AQ12" i="126"/>
  <c r="AN12" i="126" s="1"/>
  <c r="AT11" i="126"/>
  <c r="AS11" i="126" s="1"/>
  <c r="AD11" i="126"/>
  <c r="AT10" i="126"/>
  <c r="AT9" i="126"/>
  <c r="AT8" i="126"/>
  <c r="AQ8" i="126"/>
  <c r="AN8" i="126"/>
  <c r="AP8" i="126"/>
  <c r="AM8" i="126" s="1"/>
  <c r="P10" i="142"/>
  <c r="P9" i="142"/>
  <c r="P8" i="142"/>
  <c r="P7" i="142"/>
  <c r="R9" i="142"/>
  <c r="V9" i="142" s="1"/>
  <c r="R8" i="142"/>
  <c r="V8" i="142" s="1"/>
  <c r="R32" i="142"/>
  <c r="V32" i="142" s="1"/>
  <c r="P17" i="142"/>
  <c r="T17" i="142"/>
  <c r="P32" i="142"/>
  <c r="T32" i="142"/>
  <c r="R7" i="142"/>
  <c r="V7" i="142" s="1"/>
  <c r="P26" i="157"/>
  <c r="T26" i="157"/>
  <c r="R36" i="142"/>
  <c r="V36" i="142" s="1"/>
  <c r="R11" i="142"/>
  <c r="V11" i="142" s="1"/>
  <c r="P36" i="142"/>
  <c r="T36" i="142"/>
  <c r="Z33" i="145"/>
  <c r="AD31" i="145"/>
  <c r="AB30" i="151"/>
  <c r="Z30" i="151"/>
  <c r="Z31" i="149"/>
  <c r="AB12" i="145"/>
  <c r="Z12" i="150"/>
  <c r="R15" i="142"/>
  <c r="V15" i="142" s="1"/>
  <c r="Z13" i="148"/>
  <c r="R22" i="142"/>
  <c r="V22" i="142" s="1"/>
  <c r="Z30" i="148"/>
  <c r="R21" i="142"/>
  <c r="V21" i="142" s="1"/>
  <c r="Z9" i="151"/>
  <c r="R28" i="142"/>
  <c r="V28" i="142" s="1"/>
  <c r="Z13" i="150"/>
  <c r="AB30" i="149"/>
  <c r="AB14" i="145"/>
  <c r="AB32" i="147"/>
  <c r="Z14" i="150"/>
  <c r="AB13" i="151"/>
  <c r="R26" i="142"/>
  <c r="V26" i="142" s="1"/>
  <c r="Z33" i="150"/>
  <c r="Z14" i="149"/>
  <c r="AB10" i="151"/>
  <c r="AB9" i="151"/>
  <c r="Z13" i="145"/>
  <c r="Z12" i="151"/>
  <c r="R17" i="142"/>
  <c r="V17" i="142" s="1"/>
  <c r="Z30" i="145"/>
  <c r="AB9" i="148"/>
  <c r="AB32" i="148"/>
  <c r="AB33" i="151"/>
  <c r="Z11" i="148"/>
  <c r="Z32" i="148"/>
  <c r="Z9" i="148"/>
  <c r="AB12" i="151"/>
  <c r="AB11" i="151"/>
  <c r="R18" i="142"/>
  <c r="V18" i="142" s="1"/>
  <c r="R19" i="142"/>
  <c r="V19" i="142" s="1"/>
  <c r="AB9" i="149"/>
  <c r="AB31" i="149"/>
  <c r="Z9" i="146"/>
  <c r="AB12" i="149"/>
  <c r="Z13" i="126"/>
  <c r="Z33" i="126"/>
  <c r="P31" i="142"/>
  <c r="T31" i="142"/>
  <c r="Z13" i="151"/>
  <c r="P27" i="142"/>
  <c r="T27" i="142"/>
  <c r="AB30" i="145"/>
  <c r="Z32" i="147"/>
  <c r="AB9" i="146"/>
  <c r="P28" i="142"/>
  <c r="T28" i="142"/>
  <c r="Z10" i="151"/>
  <c r="AB29" i="151"/>
  <c r="AB14" i="126"/>
  <c r="R24" i="142"/>
  <c r="V24" i="142" s="1"/>
  <c r="AB13" i="145"/>
  <c r="AB32" i="126"/>
  <c r="AB13" i="149"/>
  <c r="AB14" i="151"/>
  <c r="AB32" i="145"/>
  <c r="P30" i="142"/>
  <c r="T30" i="142"/>
  <c r="P21" i="142"/>
  <c r="T21" i="142"/>
  <c r="AB33" i="126"/>
  <c r="AB31" i="145"/>
  <c r="P19" i="142"/>
  <c r="T19" i="142"/>
  <c r="AB14" i="149"/>
  <c r="AB11" i="149"/>
  <c r="AB29" i="149"/>
  <c r="P20" i="142"/>
  <c r="T20" i="142"/>
  <c r="AB13" i="126"/>
  <c r="AB10" i="149"/>
  <c r="AB33" i="149"/>
  <c r="AB32" i="149"/>
  <c r="AB11" i="145"/>
  <c r="AB14" i="150"/>
  <c r="AB12" i="146"/>
  <c r="AB33" i="145"/>
  <c r="R23" i="142"/>
  <c r="V23" i="142" s="1"/>
  <c r="AB29" i="146"/>
  <c r="Z14" i="147"/>
  <c r="AJ13" i="148"/>
  <c r="AB13" i="148"/>
  <c r="AB30" i="146"/>
  <c r="Z12" i="145"/>
  <c r="Z30" i="149"/>
  <c r="Z11" i="145"/>
  <c r="AB33" i="146"/>
  <c r="AB33" i="150"/>
  <c r="R31" i="142"/>
  <c r="V31" i="142" s="1"/>
  <c r="AB30" i="148"/>
  <c r="R30" i="142"/>
  <c r="V30" i="142" s="1"/>
  <c r="AB31" i="148"/>
  <c r="AB14" i="146"/>
  <c r="AB13" i="146"/>
  <c r="R16" i="142"/>
  <c r="V16" i="142" s="1"/>
  <c r="R27" i="142"/>
  <c r="V27" i="142" s="1"/>
  <c r="Z31" i="145"/>
  <c r="Z14" i="145"/>
  <c r="Z12" i="147"/>
  <c r="Z32" i="149"/>
  <c r="AB13" i="150"/>
  <c r="AB12" i="150"/>
  <c r="R13" i="142"/>
  <c r="V13" i="142" s="1"/>
  <c r="AB11" i="146"/>
  <c r="AB12" i="148"/>
  <c r="Z33" i="149"/>
  <c r="Z32" i="145"/>
  <c r="Z32" i="126"/>
  <c r="AB10" i="148"/>
  <c r="R12" i="142"/>
  <c r="V12" i="142" s="1"/>
  <c r="AB11" i="148"/>
  <c r="AB10" i="146"/>
  <c r="AB14" i="148"/>
  <c r="Z14" i="126"/>
  <c r="AB13" i="147"/>
  <c r="AB12" i="147"/>
  <c r="AB14" i="147"/>
  <c r="AB33" i="147"/>
  <c r="Z29" i="149"/>
  <c r="P24" i="142"/>
  <c r="T24" i="142"/>
  <c r="P23" i="142"/>
  <c r="T23" i="142"/>
  <c r="P26" i="142"/>
  <c r="T26" i="142"/>
  <c r="P25" i="142"/>
  <c r="T25" i="142"/>
  <c r="P22" i="142"/>
  <c r="T22" i="142"/>
  <c r="Z33" i="147"/>
  <c r="Z13" i="147"/>
  <c r="Z11" i="146"/>
  <c r="Z29" i="146"/>
  <c r="Z10" i="146"/>
  <c r="Z14" i="146"/>
  <c r="Z33" i="146"/>
  <c r="Z13" i="146"/>
  <c r="Z10" i="148"/>
  <c r="Z12" i="148"/>
  <c r="Z14" i="148"/>
  <c r="Z31" i="148"/>
  <c r="Z30" i="146"/>
  <c r="Z12" i="146"/>
  <c r="P18" i="142"/>
  <c r="T18" i="142"/>
  <c r="P14" i="142"/>
  <c r="P16" i="142"/>
  <c r="P13" i="142"/>
  <c r="P15" i="142"/>
  <c r="Z14" i="151"/>
  <c r="Z11" i="151"/>
  <c r="Z33" i="151"/>
  <c r="Z29" i="151"/>
  <c r="Z31" i="126"/>
  <c r="AB31" i="126"/>
  <c r="AI30" i="146"/>
  <c r="AD34" i="145" l="1"/>
  <c r="AB42" i="126"/>
  <c r="AB42" i="148"/>
  <c r="T27" i="157"/>
  <c r="AB42" i="149"/>
  <c r="AB42" i="150"/>
  <c r="AC41" i="142"/>
  <c r="AD29" i="150"/>
  <c r="W45" i="150"/>
  <c r="J45" i="150" s="1"/>
  <c r="W45" i="146"/>
  <c r="J45" i="146" s="1"/>
  <c r="W45" i="147"/>
  <c r="J45" i="147" s="1"/>
  <c r="AD29" i="148"/>
  <c r="W45" i="148"/>
  <c r="J45" i="148" s="1"/>
  <c r="W45" i="149"/>
  <c r="J45" i="149" s="1"/>
  <c r="W45" i="145"/>
  <c r="J45" i="145" s="1"/>
  <c r="W45" i="151"/>
  <c r="J45" i="151" s="1"/>
  <c r="AI8" i="145"/>
  <c r="Z8" i="145" s="1"/>
  <c r="AN39" i="161"/>
  <c r="AJ39" i="161" s="1"/>
  <c r="Q39" i="161" s="1"/>
  <c r="AI21" i="147"/>
  <c r="AI22" i="147"/>
  <c r="AI22" i="148"/>
  <c r="AI21" i="148"/>
  <c r="AP42" i="161"/>
  <c r="AK42" i="161" s="1"/>
  <c r="T42" i="161" s="1"/>
  <c r="AJ22" i="149"/>
  <c r="AJ21" i="149"/>
  <c r="AN37" i="161"/>
  <c r="AJ37" i="161" s="1"/>
  <c r="Q37" i="161" s="1"/>
  <c r="AI22" i="126"/>
  <c r="Z21" i="126"/>
  <c r="Z23" i="126" s="1"/>
  <c r="AP40" i="161"/>
  <c r="AK40" i="161" s="1"/>
  <c r="T40" i="161" s="1"/>
  <c r="AJ22" i="145"/>
  <c r="AJ21" i="145"/>
  <c r="AP41" i="161"/>
  <c r="AK41" i="161" s="1"/>
  <c r="T41" i="161" s="1"/>
  <c r="AJ22" i="151"/>
  <c r="AJ21" i="151"/>
  <c r="AI9" i="145"/>
  <c r="Z9" i="145" s="1"/>
  <c r="AI22" i="149"/>
  <c r="AI21" i="149"/>
  <c r="AI22" i="145"/>
  <c r="AI21" i="145"/>
  <c r="AP38" i="161"/>
  <c r="AK38" i="161" s="1"/>
  <c r="T38" i="161" s="1"/>
  <c r="AJ21" i="150"/>
  <c r="AJ22" i="150"/>
  <c r="AJ22" i="146"/>
  <c r="AJ21" i="146"/>
  <c r="AP39" i="161"/>
  <c r="AK39" i="161" s="1"/>
  <c r="T39" i="161" s="1"/>
  <c r="AJ21" i="147"/>
  <c r="AJ22" i="147"/>
  <c r="AN41" i="161"/>
  <c r="AJ41" i="161" s="1"/>
  <c r="Q41" i="161" s="1"/>
  <c r="AI21" i="151"/>
  <c r="AI22" i="151"/>
  <c r="AN38" i="161"/>
  <c r="AJ38" i="161" s="1"/>
  <c r="Q38" i="161" s="1"/>
  <c r="AI22" i="150"/>
  <c r="AI21" i="150"/>
  <c r="AN36" i="161"/>
  <c r="AJ36" i="161" s="1"/>
  <c r="Q36" i="161" s="1"/>
  <c r="AI22" i="146"/>
  <c r="AI21" i="146"/>
  <c r="AJ22" i="148"/>
  <c r="AJ21" i="148"/>
  <c r="AB42" i="151"/>
  <c r="AB42" i="146"/>
  <c r="AD34" i="151"/>
  <c r="AD34" i="149"/>
  <c r="AD34" i="146"/>
  <c r="AD11" i="150"/>
  <c r="AS11" i="150"/>
  <c r="AD10" i="150"/>
  <c r="AS10" i="150"/>
  <c r="AD9" i="150"/>
  <c r="AS9" i="150"/>
  <c r="AB42" i="145"/>
  <c r="AI11" i="145"/>
  <c r="AI33" i="145"/>
  <c r="AN40" i="161"/>
  <c r="AJ40" i="161" s="1"/>
  <c r="Q40" i="161" s="1"/>
  <c r="AJ12" i="146"/>
  <c r="AP36" i="161"/>
  <c r="AK36" i="161" s="1"/>
  <c r="T36" i="161" s="1"/>
  <c r="AI30" i="149"/>
  <c r="AN42" i="161"/>
  <c r="AJ42" i="161" s="1"/>
  <c r="Q42" i="161" s="1"/>
  <c r="AN35" i="161"/>
  <c r="AJ35" i="161" s="1"/>
  <c r="Q35" i="161" s="1"/>
  <c r="AP35" i="161"/>
  <c r="AK35" i="161" s="1"/>
  <c r="T35" i="161" s="1"/>
  <c r="AI33" i="149"/>
  <c r="AJ31" i="146"/>
  <c r="AJ29" i="146"/>
  <c r="AJ32" i="146"/>
  <c r="AJ30" i="146"/>
  <c r="AJ13" i="146"/>
  <c r="AJ33" i="146"/>
  <c r="AB34" i="151"/>
  <c r="AJ31" i="150"/>
  <c r="AJ9" i="146"/>
  <c r="T8" i="157"/>
  <c r="T13" i="157" s="1"/>
  <c r="Z8" i="157"/>
  <c r="AJ10" i="151"/>
  <c r="AD29" i="147"/>
  <c r="AD34" i="147" s="1"/>
  <c r="AD10" i="126"/>
  <c r="AS10" i="126"/>
  <c r="AB34" i="146"/>
  <c r="AJ14" i="150"/>
  <c r="AJ8" i="150"/>
  <c r="AB8" i="150" s="1"/>
  <c r="AJ12" i="150"/>
  <c r="AJ32" i="150"/>
  <c r="AJ33" i="150"/>
  <c r="AJ30" i="150"/>
  <c r="AB30" i="150" s="1"/>
  <c r="AB34" i="149"/>
  <c r="AI29" i="148"/>
  <c r="Z29" i="148" s="1"/>
  <c r="AD34" i="148"/>
  <c r="R27" i="157"/>
  <c r="U34" i="157" s="1"/>
  <c r="AJ32" i="151"/>
  <c r="AI14" i="145"/>
  <c r="AI31" i="148"/>
  <c r="AI30" i="148"/>
  <c r="AC40" i="142"/>
  <c r="AI12" i="126"/>
  <c r="Z12" i="126" s="1"/>
  <c r="AI10" i="126"/>
  <c r="Z10" i="126" s="1"/>
  <c r="AS8" i="126"/>
  <c r="AD8" i="126" s="1"/>
  <c r="AS8" i="150"/>
  <c r="AD8" i="150" s="1"/>
  <c r="AS9" i="126"/>
  <c r="AD9" i="126" s="1"/>
  <c r="W45" i="126"/>
  <c r="J45" i="126" s="1"/>
  <c r="AJ8" i="146"/>
  <c r="AB8" i="146" s="1"/>
  <c r="AB15" i="146" s="1"/>
  <c r="AJ32" i="147"/>
  <c r="AJ31" i="149"/>
  <c r="AJ14" i="146"/>
  <c r="AJ33" i="145"/>
  <c r="AI8" i="126"/>
  <c r="Z8" i="126" s="1"/>
  <c r="AJ33" i="149"/>
  <c r="AJ29" i="149"/>
  <c r="AJ30" i="147"/>
  <c r="AI31" i="149"/>
  <c r="AI12" i="149"/>
  <c r="AI29" i="149"/>
  <c r="AI32" i="149"/>
  <c r="AI8" i="149"/>
  <c r="Z15" i="149" s="1"/>
  <c r="AI11" i="126"/>
  <c r="Z11" i="126" s="1"/>
  <c r="AJ13" i="150"/>
  <c r="AI13" i="126"/>
  <c r="AI12" i="145"/>
  <c r="AJ14" i="149"/>
  <c r="AI10" i="145"/>
  <c r="Z10" i="145" s="1"/>
  <c r="AJ11" i="147"/>
  <c r="AB11" i="147" s="1"/>
  <c r="AI29" i="145"/>
  <c r="Z29" i="145" s="1"/>
  <c r="Z34" i="145" s="1"/>
  <c r="AI31" i="145"/>
  <c r="Z34" i="151"/>
  <c r="AI13" i="149"/>
  <c r="AJ11" i="150"/>
  <c r="AB11" i="150" s="1"/>
  <c r="AJ32" i="149"/>
  <c r="AJ13" i="149"/>
  <c r="AJ11" i="149"/>
  <c r="AJ33" i="126"/>
  <c r="AJ8" i="149"/>
  <c r="AB8" i="149" s="1"/>
  <c r="AB15" i="149" s="1"/>
  <c r="AJ31" i="126"/>
  <c r="AI12" i="148"/>
  <c r="AI33" i="148"/>
  <c r="Z33" i="148" s="1"/>
  <c r="AJ12" i="151"/>
  <c r="AI10" i="146"/>
  <c r="AJ13" i="145"/>
  <c r="AJ9" i="149"/>
  <c r="AI12" i="151"/>
  <c r="AI30" i="145"/>
  <c r="AJ11" i="146"/>
  <c r="AI32" i="148"/>
  <c r="AJ30" i="145"/>
  <c r="Z34" i="146"/>
  <c r="AJ32" i="145"/>
  <c r="AJ14" i="145"/>
  <c r="AJ10" i="145"/>
  <c r="AB10" i="145" s="1"/>
  <c r="AJ10" i="149"/>
  <c r="AJ8" i="145"/>
  <c r="AB8" i="145" s="1"/>
  <c r="AJ31" i="145"/>
  <c r="AJ32" i="148"/>
  <c r="AI14" i="126"/>
  <c r="AI31" i="126"/>
  <c r="AJ30" i="151"/>
  <c r="AI13" i="145"/>
  <c r="AI10" i="149"/>
  <c r="AJ10" i="150"/>
  <c r="AB10" i="150" s="1"/>
  <c r="AD15" i="145"/>
  <c r="AI33" i="126"/>
  <c r="AJ31" i="148"/>
  <c r="AJ9" i="151"/>
  <c r="AJ29" i="151"/>
  <c r="AJ11" i="151"/>
  <c r="AI30" i="150"/>
  <c r="Z30" i="150" s="1"/>
  <c r="AI32" i="126"/>
  <c r="AJ14" i="151"/>
  <c r="AI30" i="126"/>
  <c r="Z30" i="126" s="1"/>
  <c r="AJ31" i="151"/>
  <c r="AJ8" i="151"/>
  <c r="AB8" i="151" s="1"/>
  <c r="AB15" i="151" s="1"/>
  <c r="AI13" i="147"/>
  <c r="AJ12" i="145"/>
  <c r="AI9" i="126"/>
  <c r="Z9" i="126" s="1"/>
  <c r="AJ9" i="150"/>
  <c r="AB9" i="150" s="1"/>
  <c r="AJ30" i="126"/>
  <c r="AB30" i="126" s="1"/>
  <c r="AI13" i="151"/>
  <c r="AI31" i="151"/>
  <c r="Z15" i="151"/>
  <c r="AJ9" i="126"/>
  <c r="AB9" i="126" s="1"/>
  <c r="AJ11" i="145"/>
  <c r="AJ10" i="146"/>
  <c r="AI9" i="148"/>
  <c r="U32" i="157"/>
  <c r="L32" i="157" s="1"/>
  <c r="P19" i="157"/>
  <c r="P27" i="157" s="1"/>
  <c r="AD34" i="150"/>
  <c r="AJ29" i="150"/>
  <c r="AB29" i="150" s="1"/>
  <c r="AD34" i="126"/>
  <c r="AI29" i="126"/>
  <c r="Z29" i="126" s="1"/>
  <c r="AJ29" i="126"/>
  <c r="AB29" i="126" s="1"/>
  <c r="AI11" i="151"/>
  <c r="AI8" i="148"/>
  <c r="Z8" i="148" s="1"/>
  <c r="Z15" i="148" s="1"/>
  <c r="AJ8" i="148"/>
  <c r="AB8" i="148" s="1"/>
  <c r="AB15" i="148" s="1"/>
  <c r="AI9" i="149"/>
  <c r="AJ12" i="149"/>
  <c r="AJ33" i="151"/>
  <c r="AI32" i="151"/>
  <c r="Z34" i="149"/>
  <c r="AJ9" i="148"/>
  <c r="AJ30" i="149"/>
  <c r="AD15" i="151"/>
  <c r="AI10" i="147"/>
  <c r="Z10" i="147" s="1"/>
  <c r="AI9" i="151"/>
  <c r="AI29" i="151"/>
  <c r="AI14" i="151"/>
  <c r="AJ12" i="148"/>
  <c r="AJ30" i="148"/>
  <c r="AJ33" i="148"/>
  <c r="AB33" i="148" s="1"/>
  <c r="AJ14" i="126"/>
  <c r="AI14" i="147"/>
  <c r="AJ11" i="148"/>
  <c r="AI11" i="149"/>
  <c r="AI10" i="151"/>
  <c r="AJ29" i="148"/>
  <c r="AB29" i="148" s="1"/>
  <c r="AJ10" i="148"/>
  <c r="AI14" i="148"/>
  <c r="AI10" i="148"/>
  <c r="AJ13" i="151"/>
  <c r="AD15" i="148"/>
  <c r="AD15" i="146"/>
  <c r="AI30" i="151"/>
  <c r="AI33" i="151"/>
  <c r="AJ14" i="148"/>
  <c r="AJ9" i="145"/>
  <c r="AB9" i="145" s="1"/>
  <c r="AJ12" i="147"/>
  <c r="AI13" i="148"/>
  <c r="AD15" i="149"/>
  <c r="AD15" i="147"/>
  <c r="AI14" i="149"/>
  <c r="AI9" i="146"/>
  <c r="AJ10" i="147"/>
  <c r="AB10" i="147" s="1"/>
  <c r="AJ13" i="126"/>
  <c r="AJ12" i="126"/>
  <c r="AB12" i="126" s="1"/>
  <c r="AI32" i="147"/>
  <c r="AI32" i="150"/>
  <c r="AJ8" i="147"/>
  <c r="AB8" i="147" s="1"/>
  <c r="AI9" i="147"/>
  <c r="Z9" i="147" s="1"/>
  <c r="AI11" i="148"/>
  <c r="AI31" i="146"/>
  <c r="AI14" i="146"/>
  <c r="AI32" i="146"/>
  <c r="AI8" i="147"/>
  <c r="Z8" i="147" s="1"/>
  <c r="AI29" i="146"/>
  <c r="AI31" i="147"/>
  <c r="AI33" i="146"/>
  <c r="AI11" i="147"/>
  <c r="Z11" i="147" s="1"/>
  <c r="AI33" i="147"/>
  <c r="AJ32" i="126"/>
  <c r="AI8" i="146"/>
  <c r="Z8" i="146" s="1"/>
  <c r="Z15" i="146" s="1"/>
  <c r="AI33" i="150"/>
  <c r="AI14" i="150"/>
  <c r="AI9" i="150"/>
  <c r="Z9" i="150" s="1"/>
  <c r="AI12" i="150"/>
  <c r="AJ29" i="145"/>
  <c r="AB29" i="145" s="1"/>
  <c r="AB34" i="145" s="1"/>
  <c r="AI30" i="147"/>
  <c r="AI12" i="146"/>
  <c r="AJ31" i="147"/>
  <c r="AI11" i="146"/>
  <c r="AI13" i="146"/>
  <c r="AI29" i="150"/>
  <c r="Z29" i="150" s="1"/>
  <c r="AI31" i="150"/>
  <c r="AI29" i="147"/>
  <c r="Z29" i="147" s="1"/>
  <c r="Z34" i="147" s="1"/>
  <c r="AJ8" i="126"/>
  <c r="AB8" i="126" s="1"/>
  <c r="AI8" i="150"/>
  <c r="Z8" i="150" s="1"/>
  <c r="AC39" i="142"/>
  <c r="AI11" i="150"/>
  <c r="Z11" i="150" s="1"/>
  <c r="AJ10" i="126"/>
  <c r="AB10" i="126" s="1"/>
  <c r="AJ14" i="147"/>
  <c r="AJ9" i="147"/>
  <c r="AB9" i="147" s="1"/>
  <c r="AJ33" i="147"/>
  <c r="AJ13" i="147"/>
  <c r="AI12" i="147"/>
  <c r="AJ11" i="126"/>
  <c r="AB11" i="126" s="1"/>
  <c r="AI10" i="150"/>
  <c r="Z10" i="150" s="1"/>
  <c r="AJ29" i="147"/>
  <c r="AB29" i="147" s="1"/>
  <c r="AB34" i="147" s="1"/>
  <c r="AI13" i="150"/>
  <c r="Z15" i="145" l="1"/>
  <c r="AA46" i="145" s="1"/>
  <c r="AA48" i="151"/>
  <c r="AD15" i="150"/>
  <c r="AB15" i="145"/>
  <c r="AA47" i="145" s="1"/>
  <c r="J11" i="78"/>
  <c r="T45" i="161"/>
  <c r="AA47" i="151"/>
  <c r="Q45" i="161"/>
  <c r="AB34" i="150"/>
  <c r="AA47" i="149"/>
  <c r="Z34" i="148"/>
  <c r="AA46" i="151"/>
  <c r="AA47" i="146"/>
  <c r="AB34" i="148"/>
  <c r="AB34" i="126"/>
  <c r="AB15" i="150"/>
  <c r="AB15" i="147"/>
  <c r="AA46" i="146"/>
  <c r="AB15" i="126"/>
  <c r="AD15" i="126"/>
  <c r="AA48" i="126" s="1"/>
  <c r="Z15" i="147"/>
  <c r="Z34" i="150"/>
  <c r="AA48" i="145"/>
  <c r="AA48" i="147"/>
  <c r="AA48" i="146"/>
  <c r="AA46" i="149"/>
  <c r="AA48" i="148"/>
  <c r="Z15" i="126"/>
  <c r="AA48" i="149"/>
  <c r="U33" i="157"/>
  <c r="Z34" i="126"/>
  <c r="U35" i="157"/>
  <c r="Z15" i="150"/>
  <c r="AA48" i="150"/>
  <c r="AA47" i="150" l="1"/>
  <c r="AH23" i="78"/>
  <c r="AA46" i="148"/>
  <c r="AA47" i="126"/>
  <c r="AA47" i="148"/>
  <c r="AA47" i="147"/>
  <c r="AA46" i="147"/>
  <c r="AA46" i="150"/>
  <c r="AA46" i="126"/>
  <c r="AI23" i="78" l="1"/>
  <c r="AH24" i="78"/>
  <c r="AH25" i="78"/>
  <c r="X12" i="78" s="1"/>
  <c r="T17" i="78" l="1"/>
  <c r="J12" i="78"/>
  <c r="J17" i="78" s="1"/>
  <c r="AI24" i="78"/>
  <c r="X11" i="78"/>
  <c r="J18"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100-000001000000}">
      <text>
        <r>
          <rPr>
            <sz val="9"/>
            <color indexed="81"/>
            <rFont val="ＭＳ Ｐゴシック"/>
            <family val="3"/>
            <charset val="128"/>
          </rPr>
          <t>取得日射量補正係数は簡略計算法にて算出</t>
        </r>
      </text>
    </comment>
    <comment ref="J6" authorId="0" shapeId="0" xr:uid="{00000000-0006-0000-01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100-000003000000}">
      <text>
        <r>
          <rPr>
            <sz val="9"/>
            <color indexed="81"/>
            <rFont val="ＭＳ Ｐゴシック"/>
            <family val="3"/>
            <charset val="128"/>
          </rPr>
          <t>日射熱取得を加算しない場合は、チェックをはずして下さい。</t>
        </r>
      </text>
    </comment>
    <comment ref="X27" authorId="0" shapeId="0" xr:uid="{00000000-0006-0000-0100-000004000000}">
      <text>
        <r>
          <rPr>
            <sz val="9"/>
            <color indexed="81"/>
            <rFont val="ＭＳ Ｐゴシック"/>
            <family val="3"/>
            <charset val="128"/>
          </rPr>
          <t>日射熱取得を加算しない場合は、チェックをはずして下さい。</t>
        </r>
      </text>
    </comment>
    <comment ref="S36" authorId="1" shapeId="0" xr:uid="{00000000-0006-0000-01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200-000001000000}">
      <text>
        <r>
          <rPr>
            <sz val="9"/>
            <color indexed="81"/>
            <rFont val="ＭＳ Ｐゴシック"/>
            <family val="3"/>
            <charset val="128"/>
          </rPr>
          <t>取得日射量補正係数は簡略計算法にて算出</t>
        </r>
      </text>
    </comment>
    <comment ref="J6" authorId="0" shapeId="0" xr:uid="{00000000-0006-0000-02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200-000003000000}">
      <text>
        <r>
          <rPr>
            <sz val="9"/>
            <color indexed="81"/>
            <rFont val="ＭＳ Ｐゴシック"/>
            <family val="3"/>
            <charset val="128"/>
          </rPr>
          <t>日射熱取得を加算しない場合は、チェックをはずして下さい。</t>
        </r>
      </text>
    </comment>
    <comment ref="X27" authorId="0" shapeId="0" xr:uid="{00000000-0006-0000-0200-000004000000}">
      <text>
        <r>
          <rPr>
            <sz val="9"/>
            <color indexed="81"/>
            <rFont val="ＭＳ Ｐゴシック"/>
            <family val="3"/>
            <charset val="128"/>
          </rPr>
          <t>日射熱取得を加算しない場合は、チェックをはずして下さい。</t>
        </r>
      </text>
    </comment>
    <comment ref="S36" authorId="1" shapeId="0" xr:uid="{00000000-0006-0000-02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300-000001000000}">
      <text>
        <r>
          <rPr>
            <sz val="9"/>
            <color indexed="81"/>
            <rFont val="ＭＳ Ｐゴシック"/>
            <family val="3"/>
            <charset val="128"/>
          </rPr>
          <t>取得日射量補正係数は簡略計算法にて算出</t>
        </r>
      </text>
    </comment>
    <comment ref="J6" authorId="0" shapeId="0" xr:uid="{00000000-0006-0000-03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300-000003000000}">
      <text>
        <r>
          <rPr>
            <sz val="9"/>
            <color indexed="81"/>
            <rFont val="ＭＳ Ｐゴシック"/>
            <family val="3"/>
            <charset val="128"/>
          </rPr>
          <t>日射熱取得を加算しない場合は、チェックをはずして下さい。</t>
        </r>
      </text>
    </comment>
    <comment ref="X27" authorId="0" shapeId="0" xr:uid="{00000000-0006-0000-0300-000004000000}">
      <text>
        <r>
          <rPr>
            <sz val="9"/>
            <color indexed="81"/>
            <rFont val="ＭＳ Ｐゴシック"/>
            <family val="3"/>
            <charset val="128"/>
          </rPr>
          <t>日射熱取得を加算しない場合は、チェックをはずして下さい。</t>
        </r>
      </text>
    </comment>
    <comment ref="S36" authorId="1" shapeId="0" xr:uid="{00000000-0006-0000-03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400-000001000000}">
      <text>
        <r>
          <rPr>
            <sz val="9"/>
            <color indexed="81"/>
            <rFont val="ＭＳ Ｐゴシック"/>
            <family val="3"/>
            <charset val="128"/>
          </rPr>
          <t>取得日射量補正係数は簡略計算法にて算出</t>
        </r>
      </text>
    </comment>
    <comment ref="J6" authorId="0" shapeId="0" xr:uid="{00000000-0006-0000-04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400-000003000000}">
      <text>
        <r>
          <rPr>
            <sz val="9"/>
            <color indexed="81"/>
            <rFont val="ＭＳ Ｐゴシック"/>
            <family val="3"/>
            <charset val="128"/>
          </rPr>
          <t>日射熱取得を加算しない場合は、チェックをはずして下さい。</t>
        </r>
      </text>
    </comment>
    <comment ref="X27" authorId="0" shapeId="0" xr:uid="{00000000-0006-0000-0400-000004000000}">
      <text>
        <r>
          <rPr>
            <sz val="9"/>
            <color indexed="81"/>
            <rFont val="ＭＳ Ｐゴシック"/>
            <family val="3"/>
            <charset val="128"/>
          </rPr>
          <t>日射熱取得を加算しない場合は、チェックをはずして下さい。</t>
        </r>
      </text>
    </comment>
    <comment ref="S36" authorId="1" shapeId="0" xr:uid="{00000000-0006-0000-04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500-000001000000}">
      <text>
        <r>
          <rPr>
            <sz val="9"/>
            <color indexed="81"/>
            <rFont val="ＭＳ Ｐゴシック"/>
            <family val="3"/>
            <charset val="128"/>
          </rPr>
          <t>取得日射量補正係数は簡略計算法にて算出</t>
        </r>
      </text>
    </comment>
    <comment ref="J6" authorId="0" shapeId="0" xr:uid="{00000000-0006-0000-05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500-000003000000}">
      <text>
        <r>
          <rPr>
            <sz val="9"/>
            <color indexed="81"/>
            <rFont val="ＭＳ Ｐゴシック"/>
            <family val="3"/>
            <charset val="128"/>
          </rPr>
          <t>日射熱取得を加算しない場合は、チェックをはずして下さい。</t>
        </r>
      </text>
    </comment>
    <comment ref="X27" authorId="0" shapeId="0" xr:uid="{00000000-0006-0000-0500-000004000000}">
      <text>
        <r>
          <rPr>
            <sz val="9"/>
            <color indexed="81"/>
            <rFont val="ＭＳ Ｐゴシック"/>
            <family val="3"/>
            <charset val="128"/>
          </rPr>
          <t>日射熱取得を加算しない場合は、チェックをはずして下さい。</t>
        </r>
      </text>
    </comment>
    <comment ref="S36" authorId="1" shapeId="0" xr:uid="{00000000-0006-0000-05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600-000001000000}">
      <text>
        <r>
          <rPr>
            <sz val="9"/>
            <color indexed="81"/>
            <rFont val="ＭＳ Ｐゴシック"/>
            <family val="3"/>
            <charset val="128"/>
          </rPr>
          <t>取得日射量補正係数は簡略計算法にて算出</t>
        </r>
      </text>
    </comment>
    <comment ref="J6" authorId="0" shapeId="0" xr:uid="{00000000-0006-0000-06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600-000003000000}">
      <text>
        <r>
          <rPr>
            <sz val="9"/>
            <color indexed="81"/>
            <rFont val="ＭＳ Ｐゴシック"/>
            <family val="3"/>
            <charset val="128"/>
          </rPr>
          <t>日射熱取得を加算しない場合は、チェックをはずして下さい。</t>
        </r>
      </text>
    </comment>
    <comment ref="X27" authorId="0" shapeId="0" xr:uid="{00000000-0006-0000-0600-000004000000}">
      <text>
        <r>
          <rPr>
            <sz val="9"/>
            <color indexed="81"/>
            <rFont val="ＭＳ Ｐゴシック"/>
            <family val="3"/>
            <charset val="128"/>
          </rPr>
          <t>日射熱取得を加算しない場合は、チェックをはずして下さい。</t>
        </r>
      </text>
    </comment>
    <comment ref="S36" authorId="1" shapeId="0" xr:uid="{00000000-0006-0000-06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700-000001000000}">
      <text>
        <r>
          <rPr>
            <sz val="9"/>
            <color indexed="81"/>
            <rFont val="ＭＳ Ｐゴシック"/>
            <family val="3"/>
            <charset val="128"/>
          </rPr>
          <t>取得日射量補正係数は簡略計算法にて算出</t>
        </r>
      </text>
    </comment>
    <comment ref="J6" authorId="0" shapeId="0" xr:uid="{00000000-0006-0000-07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700-000003000000}">
      <text>
        <r>
          <rPr>
            <sz val="9"/>
            <color indexed="81"/>
            <rFont val="ＭＳ Ｐゴシック"/>
            <family val="3"/>
            <charset val="128"/>
          </rPr>
          <t>日射熱取得を加算しない場合は、チェックをはずして下さい。</t>
        </r>
      </text>
    </comment>
    <comment ref="X27" authorId="0" shapeId="0" xr:uid="{00000000-0006-0000-0700-000004000000}">
      <text>
        <r>
          <rPr>
            <sz val="9"/>
            <color indexed="81"/>
            <rFont val="ＭＳ Ｐゴシック"/>
            <family val="3"/>
            <charset val="128"/>
          </rPr>
          <t>日射熱取得を加算しない場合は、チェックをはずして下さい。</t>
        </r>
      </text>
    </comment>
    <comment ref="S36" authorId="1" shapeId="0" xr:uid="{00000000-0006-0000-07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012</author>
    <author>011</author>
  </authors>
  <commentList>
    <comment ref="R5" authorId="0" shapeId="0" xr:uid="{00000000-0006-0000-0800-000001000000}">
      <text>
        <r>
          <rPr>
            <sz val="9"/>
            <color indexed="81"/>
            <rFont val="ＭＳ Ｐゴシック"/>
            <family val="3"/>
            <charset val="128"/>
          </rPr>
          <t>取得日射量補正係数は簡略計算法にて算出</t>
        </r>
      </text>
    </comment>
    <comment ref="J6" authorId="0" shapeId="0" xr:uid="{00000000-0006-0000-0800-000002000000}">
      <text>
        <r>
          <rPr>
            <sz val="9"/>
            <color indexed="81"/>
            <rFont val="ＭＳ Ｐゴシック"/>
            <family val="3"/>
            <charset val="128"/>
          </rPr>
          <t>中廊下等に面する窓で日射が当たらない場合は、チェックをはずして下さい。</t>
        </r>
      </text>
    </comment>
    <comment ref="X19" authorId="0" shapeId="0" xr:uid="{00000000-0006-0000-0800-000003000000}">
      <text>
        <r>
          <rPr>
            <sz val="9"/>
            <color indexed="81"/>
            <rFont val="ＭＳ Ｐゴシック"/>
            <family val="3"/>
            <charset val="128"/>
          </rPr>
          <t>日射熱取得を加算しない場合は、チェックをはずして下さい。</t>
        </r>
      </text>
    </comment>
    <comment ref="X27" authorId="0" shapeId="0" xr:uid="{00000000-0006-0000-0800-000004000000}">
      <text>
        <r>
          <rPr>
            <sz val="9"/>
            <color indexed="81"/>
            <rFont val="ＭＳ Ｐゴシック"/>
            <family val="3"/>
            <charset val="128"/>
          </rPr>
          <t>日射熱取得を加算しない場合は、チェックをはずして下さい。</t>
        </r>
      </text>
    </comment>
    <comment ref="S36" authorId="1" shapeId="0" xr:uid="{00000000-0006-0000-0800-000005000000}">
      <text>
        <r>
          <rPr>
            <sz val="9"/>
            <color indexed="81"/>
            <rFont val="ＭＳ Ｐゴシック"/>
            <family val="3"/>
            <charset val="128"/>
          </rPr>
          <t>隣接空間に上記以外の開口部がある場合に入力します。
（国研）建築研究所 「平成28年省エネルギー基準に準拠したエネルギー消費性能の評価に関する技術情報（住宅）」 にてご確認ください。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4" authorId="0" shapeId="0" xr:uid="{00000000-0006-0000-0900-000001000000}">
      <text>
        <r>
          <rPr>
            <sz val="9"/>
            <color indexed="81"/>
            <rFont val="ＭＳ Ｐゴシック"/>
            <family val="3"/>
            <charset val="128"/>
          </rPr>
          <t>日射熱取得を加算しない部位の場合はチェックを外して下さい。</t>
        </r>
      </text>
    </comment>
  </commentList>
</comments>
</file>

<file path=xl/sharedStrings.xml><?xml version="1.0" encoding="utf-8"?>
<sst xmlns="http://schemas.openxmlformats.org/spreadsheetml/2006/main" count="1315" uniqueCount="416">
  <si>
    <t>仕様番号</t>
    <rPh sb="0" eb="2">
      <t>シヨウ</t>
    </rPh>
    <rPh sb="2" eb="4">
      <t>バンゴウ</t>
    </rPh>
    <phoneticPr fontId="4"/>
  </si>
  <si>
    <t>ｙ2</t>
    <phoneticPr fontId="4"/>
  </si>
  <si>
    <t>冷房期</t>
    <rPh sb="0" eb="2">
      <t>レイボウ</t>
    </rPh>
    <rPh sb="2" eb="3">
      <t>キ</t>
    </rPh>
    <phoneticPr fontId="4"/>
  </si>
  <si>
    <t>窓番号</t>
    <rPh sb="0" eb="1">
      <t>マド</t>
    </rPh>
    <rPh sb="1" eb="3">
      <t>バンゴウ</t>
    </rPh>
    <phoneticPr fontId="4"/>
  </si>
  <si>
    <t>高さ</t>
    <rPh sb="0" eb="1">
      <t>タカ</t>
    </rPh>
    <phoneticPr fontId="4"/>
  </si>
  <si>
    <t>幅</t>
    <rPh sb="0" eb="1">
      <t>ハバ</t>
    </rPh>
    <phoneticPr fontId="4"/>
  </si>
  <si>
    <t>付属部材
の有無</t>
    <rPh sb="0" eb="2">
      <t>フゾク</t>
    </rPh>
    <rPh sb="2" eb="4">
      <t>ブザイ</t>
    </rPh>
    <rPh sb="6" eb="8">
      <t>ウム</t>
    </rPh>
    <phoneticPr fontId="4"/>
  </si>
  <si>
    <t>Z</t>
    <phoneticPr fontId="4"/>
  </si>
  <si>
    <t>ｙ1</t>
    <phoneticPr fontId="4"/>
  </si>
  <si>
    <t>取得日射量補正係数</t>
    <rPh sb="0" eb="2">
      <t>シュトク</t>
    </rPh>
    <rPh sb="2" eb="4">
      <t>ニッシャ</t>
    </rPh>
    <rPh sb="4" eb="5">
      <t>リョウ</t>
    </rPh>
    <rPh sb="5" eb="7">
      <t>ホセイ</t>
    </rPh>
    <rPh sb="7" eb="9">
      <t>ケイスウ</t>
    </rPh>
    <phoneticPr fontId="4"/>
  </si>
  <si>
    <t>ドア番号</t>
    <rPh sb="2" eb="4">
      <t>バンゴウ</t>
    </rPh>
    <phoneticPr fontId="4"/>
  </si>
  <si>
    <t>暖房期</t>
    <rPh sb="0" eb="2">
      <t>ダンボウ</t>
    </rPh>
    <rPh sb="2" eb="3">
      <t>キ</t>
    </rPh>
    <phoneticPr fontId="4"/>
  </si>
  <si>
    <t>　総熱損失</t>
    <rPh sb="1" eb="2">
      <t>ソウ</t>
    </rPh>
    <rPh sb="2" eb="3">
      <t>ネツ</t>
    </rPh>
    <rPh sb="3" eb="5">
      <t>ソンシツ</t>
    </rPh>
    <phoneticPr fontId="4"/>
  </si>
  <si>
    <t>W/K</t>
    <phoneticPr fontId="4"/>
  </si>
  <si>
    <t>（窓</t>
    <rPh sb="1" eb="2">
      <t>マド</t>
    </rPh>
    <phoneticPr fontId="4"/>
  </si>
  <si>
    <t>㎡</t>
    <phoneticPr fontId="4"/>
  </si>
  <si>
    <t>1）基本情報の入力</t>
    <rPh sb="2" eb="4">
      <t>キホン</t>
    </rPh>
    <rPh sb="4" eb="6">
      <t>ジョウホウ</t>
    </rPh>
    <rPh sb="7" eb="9">
      <t>ニュウリョク</t>
    </rPh>
    <phoneticPr fontId="4"/>
  </si>
  <si>
    <t>　住宅の名称</t>
    <rPh sb="1" eb="3">
      <t>ジュウタク</t>
    </rPh>
    <rPh sb="4" eb="6">
      <t>メイショウ</t>
    </rPh>
    <phoneticPr fontId="4"/>
  </si>
  <si>
    <t>　住宅の所在地</t>
    <rPh sb="1" eb="3">
      <t>ジュウタク</t>
    </rPh>
    <rPh sb="4" eb="7">
      <t>ショザイチ</t>
    </rPh>
    <phoneticPr fontId="4"/>
  </si>
  <si>
    <t>（地域区分）</t>
    <rPh sb="1" eb="3">
      <t>チイキ</t>
    </rPh>
    <rPh sb="3" eb="5">
      <t>クブン</t>
    </rPh>
    <phoneticPr fontId="4"/>
  </si>
  <si>
    <t>2）計算結果</t>
    <rPh sb="2" eb="4">
      <t>ケイサン</t>
    </rPh>
    <rPh sb="4" eb="6">
      <t>ケッカ</t>
    </rPh>
    <phoneticPr fontId="4"/>
  </si>
  <si>
    <t>　注１：本計算シートに入力している面積は、別途平面図や立面図等で計算過程を明示しています。</t>
    <rPh sb="1" eb="2">
      <t>チュウ</t>
    </rPh>
    <rPh sb="4" eb="5">
      <t>ホン</t>
    </rPh>
    <rPh sb="5" eb="7">
      <t>ケイサン</t>
    </rPh>
    <rPh sb="11" eb="13">
      <t>ニュウリョク</t>
    </rPh>
    <rPh sb="17" eb="19">
      <t>メンセキ</t>
    </rPh>
    <rPh sb="21" eb="23">
      <t>ベット</t>
    </rPh>
    <rPh sb="23" eb="26">
      <t>ヘイメンズ</t>
    </rPh>
    <rPh sb="27" eb="30">
      <t>リツメンズ</t>
    </rPh>
    <rPh sb="30" eb="31">
      <t>トウ</t>
    </rPh>
    <rPh sb="32" eb="34">
      <t>ケイサン</t>
    </rPh>
    <rPh sb="34" eb="36">
      <t>カテイ</t>
    </rPh>
    <rPh sb="37" eb="39">
      <t>メイジ</t>
    </rPh>
    <phoneticPr fontId="4"/>
  </si>
  <si>
    <t>　注２：本計算シートに入力している部位の熱貫流率は、別途計算書等を添付しています。</t>
    <rPh sb="1" eb="2">
      <t>チュウ</t>
    </rPh>
    <rPh sb="4" eb="5">
      <t>ホン</t>
    </rPh>
    <rPh sb="5" eb="7">
      <t>ケイサン</t>
    </rPh>
    <rPh sb="11" eb="13">
      <t>ニュウリョク</t>
    </rPh>
    <rPh sb="17" eb="19">
      <t>ブイ</t>
    </rPh>
    <rPh sb="20" eb="21">
      <t>ネツ</t>
    </rPh>
    <rPh sb="21" eb="23">
      <t>カンリュウ</t>
    </rPh>
    <rPh sb="23" eb="24">
      <t>リツ</t>
    </rPh>
    <rPh sb="26" eb="28">
      <t>ベット</t>
    </rPh>
    <rPh sb="28" eb="32">
      <t>ケイサンショトウ</t>
    </rPh>
    <rPh sb="33" eb="35">
      <t>テンプ</t>
    </rPh>
    <phoneticPr fontId="4"/>
  </si>
  <si>
    <t>W/（㎡K）</t>
    <phoneticPr fontId="4"/>
  </si>
  <si>
    <t>方位係数</t>
    <rPh sb="0" eb="2">
      <t>ホウイ</t>
    </rPh>
    <rPh sb="2" eb="4">
      <t>ケイスウ</t>
    </rPh>
    <phoneticPr fontId="4"/>
  </si>
  <si>
    <t>窓 ＜屋根・天井＞ 各値合計</t>
    <rPh sb="0" eb="1">
      <t>マド</t>
    </rPh>
    <rPh sb="10" eb="11">
      <t>カク</t>
    </rPh>
    <rPh sb="11" eb="12">
      <t>アタイ</t>
    </rPh>
    <rPh sb="12" eb="14">
      <t>ゴウケイ</t>
    </rPh>
    <phoneticPr fontId="4"/>
  </si>
  <si>
    <t>部位番号</t>
    <rPh sb="0" eb="2">
      <t>ブイ</t>
    </rPh>
    <rPh sb="2" eb="4">
      <t>バンゴウ</t>
    </rPh>
    <phoneticPr fontId="4"/>
  </si>
  <si>
    <t>部位名</t>
    <rPh sb="0" eb="2">
      <t>ブイ</t>
    </rPh>
    <rPh sb="2" eb="3">
      <t>メイ</t>
    </rPh>
    <phoneticPr fontId="4"/>
  </si>
  <si>
    <t>　注４：内訳計算シートＡは、住宅の外壁の面する方位別のシートに入力してください。</t>
    <rPh sb="1" eb="2">
      <t>チュウ</t>
    </rPh>
    <rPh sb="4" eb="6">
      <t>ウチワケ</t>
    </rPh>
    <rPh sb="6" eb="8">
      <t>ケイサン</t>
    </rPh>
    <rPh sb="14" eb="16">
      <t>ジュウタク</t>
    </rPh>
    <rPh sb="17" eb="19">
      <t>ガイヘキ</t>
    </rPh>
    <rPh sb="20" eb="21">
      <t>メン</t>
    </rPh>
    <rPh sb="23" eb="25">
      <t>ホウイ</t>
    </rPh>
    <rPh sb="25" eb="26">
      <t>ベツ</t>
    </rPh>
    <rPh sb="31" eb="33">
      <t>ニュウリョク</t>
    </rPh>
    <phoneticPr fontId="4"/>
  </si>
  <si>
    <t>1）天窓等の入力</t>
    <rPh sb="2" eb="3">
      <t>テン</t>
    </rPh>
    <rPh sb="3" eb="4">
      <t>マド</t>
    </rPh>
    <rPh sb="4" eb="5">
      <t>トウ</t>
    </rPh>
    <rPh sb="6" eb="8">
      <t>ニュウリョク</t>
    </rPh>
    <phoneticPr fontId="4"/>
  </si>
  <si>
    <t>外壁 ＜屋根・天井・床＞ 各値合計</t>
    <rPh sb="0" eb="2">
      <t>ガイヘキ</t>
    </rPh>
    <rPh sb="10" eb="11">
      <t>ユカ</t>
    </rPh>
    <phoneticPr fontId="4"/>
  </si>
  <si>
    <t>　外皮等面積（内訳）</t>
    <rPh sb="1" eb="3">
      <t>ガイヒ</t>
    </rPh>
    <rPh sb="3" eb="4">
      <t>トウ</t>
    </rPh>
    <rPh sb="4" eb="6">
      <t>メンセキ</t>
    </rPh>
    <rPh sb="7" eb="9">
      <t>ウチワケ</t>
    </rPh>
    <phoneticPr fontId="4"/>
  </si>
  <si>
    <t>2）屋根・天井・外気等に接する床（以下「屋根等」という。）の入力</t>
    <rPh sb="2" eb="4">
      <t>ヤネ</t>
    </rPh>
    <rPh sb="5" eb="7">
      <t>テンジョウ</t>
    </rPh>
    <rPh sb="8" eb="11">
      <t>ガイキトウ</t>
    </rPh>
    <rPh sb="17" eb="19">
      <t>イカ</t>
    </rPh>
    <rPh sb="20" eb="23">
      <t>ヤネトウ</t>
    </rPh>
    <rPh sb="30" eb="32">
      <t>ニュウリョク</t>
    </rPh>
    <phoneticPr fontId="4"/>
  </si>
  <si>
    <t>屋根等他</t>
    <rPh sb="2" eb="3">
      <t>トウ</t>
    </rPh>
    <rPh sb="3" eb="4">
      <t>ホカ</t>
    </rPh>
    <phoneticPr fontId="4"/>
  </si>
  <si>
    <t>天窓</t>
    <rPh sb="0" eb="1">
      <t>テン</t>
    </rPh>
    <rPh sb="1" eb="2">
      <t>マド</t>
    </rPh>
    <phoneticPr fontId="4"/>
  </si>
  <si>
    <t>屋根等</t>
    <rPh sb="0" eb="2">
      <t>ヤネ</t>
    </rPh>
    <rPh sb="2" eb="3">
      <t>トウ</t>
    </rPh>
    <phoneticPr fontId="4"/>
  </si>
  <si>
    <t>土間床等面積合計</t>
    <rPh sb="0" eb="2">
      <t>ドマ</t>
    </rPh>
    <rPh sb="2" eb="3">
      <t>ユカ</t>
    </rPh>
    <rPh sb="3" eb="4">
      <t>トウ</t>
    </rPh>
    <rPh sb="4" eb="6">
      <t>メンセキ</t>
    </rPh>
    <rPh sb="6" eb="8">
      <t>ゴウケイ</t>
    </rPh>
    <phoneticPr fontId="4"/>
  </si>
  <si>
    <t>部位
名称</t>
    <rPh sb="0" eb="2">
      <t>ブイ</t>
    </rPh>
    <rPh sb="3" eb="5">
      <t>メイショウ</t>
    </rPh>
    <phoneticPr fontId="4"/>
  </si>
  <si>
    <t>暖房期
日射熱
取得量</t>
    <rPh sb="0" eb="2">
      <t>ダンボウ</t>
    </rPh>
    <rPh sb="2" eb="3">
      <t>キ</t>
    </rPh>
    <phoneticPr fontId="4"/>
  </si>
  <si>
    <t>冷房期
日射熱
取得量</t>
    <rPh sb="0" eb="2">
      <t>レイボウ</t>
    </rPh>
    <rPh sb="2" eb="3">
      <t>キ</t>
    </rPh>
    <phoneticPr fontId="4"/>
  </si>
  <si>
    <t>ﾃﾞﾌｫﾙﾄ
値使用</t>
    <rPh sb="7" eb="8">
      <t>アタイ</t>
    </rPh>
    <rPh sb="8" eb="10">
      <t>シヨウ</t>
    </rPh>
    <phoneticPr fontId="4"/>
  </si>
  <si>
    <t>取得日射量補正係数の算出</t>
    <rPh sb="0" eb="2">
      <t>シュトク</t>
    </rPh>
    <rPh sb="2" eb="4">
      <t>ニッシャ</t>
    </rPh>
    <rPh sb="4" eb="5">
      <t>リョウ</t>
    </rPh>
    <rPh sb="5" eb="7">
      <t>ホセイ</t>
    </rPh>
    <rPh sb="7" eb="9">
      <t>ケイスウ</t>
    </rPh>
    <rPh sb="10" eb="12">
      <t>サンシュツ</t>
    </rPh>
    <phoneticPr fontId="4"/>
  </si>
  <si>
    <t>　冷房期総日射熱取得量</t>
    <rPh sb="1" eb="3">
      <t>レイボウ</t>
    </rPh>
    <rPh sb="3" eb="4">
      <t>キ</t>
    </rPh>
    <rPh sb="4" eb="5">
      <t>ソウ</t>
    </rPh>
    <rPh sb="5" eb="7">
      <t>ニッシャ</t>
    </rPh>
    <rPh sb="7" eb="8">
      <t>ネツ</t>
    </rPh>
    <rPh sb="8" eb="10">
      <t>シュトク</t>
    </rPh>
    <rPh sb="10" eb="11">
      <t>リョウ</t>
    </rPh>
    <phoneticPr fontId="4"/>
  </si>
  <si>
    <t>　暖房期総日射熱取得量</t>
    <rPh sb="1" eb="3">
      <t>ダンボウ</t>
    </rPh>
    <rPh sb="3" eb="4">
      <t>キ</t>
    </rPh>
    <rPh sb="4" eb="5">
      <t>ソウ</t>
    </rPh>
    <rPh sb="5" eb="7">
      <t>ニッシャ</t>
    </rPh>
    <rPh sb="7" eb="8">
      <t>ネツ</t>
    </rPh>
    <rPh sb="8" eb="10">
      <t>シュトク</t>
    </rPh>
    <rPh sb="10" eb="11">
      <t>リョウ</t>
    </rPh>
    <phoneticPr fontId="4"/>
  </si>
  <si>
    <t>日射熱取得量</t>
    <rPh sb="0" eb="2">
      <t>ニッシャ</t>
    </rPh>
    <rPh sb="2" eb="3">
      <t>ネツ</t>
    </rPh>
    <rPh sb="3" eb="5">
      <t>シュトク</t>
    </rPh>
    <rPh sb="5" eb="6">
      <t>リョウ</t>
    </rPh>
    <phoneticPr fontId="4"/>
  </si>
  <si>
    <t>取得日射量補正係数(FALSEの場合)</t>
    <rPh sb="0" eb="2">
      <t>シュトク</t>
    </rPh>
    <rPh sb="2" eb="4">
      <t>ニッシャ</t>
    </rPh>
    <rPh sb="4" eb="5">
      <t>リョウ</t>
    </rPh>
    <rPh sb="5" eb="7">
      <t>ホセイ</t>
    </rPh>
    <rPh sb="7" eb="9">
      <t>ケイスウ</t>
    </rPh>
    <rPh sb="16" eb="18">
      <t>バアイ</t>
    </rPh>
    <phoneticPr fontId="4"/>
  </si>
  <si>
    <r>
      <t>内訳計算シートＡ　　</t>
    </r>
    <r>
      <rPr>
        <b/>
        <sz val="14"/>
        <rFont val="HG丸ｺﾞｼｯｸM-PRO"/>
        <family val="3"/>
        <charset val="128"/>
      </rPr>
      <t>＜北面＞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2">
      <t>キタ</t>
    </rPh>
    <rPh sb="12" eb="13">
      <t>メン</t>
    </rPh>
    <rPh sb="23" eb="25">
      <t>ニッシャ</t>
    </rPh>
    <rPh sb="25" eb="26">
      <t>ネツ</t>
    </rPh>
    <rPh sb="26" eb="28">
      <t>シュトク</t>
    </rPh>
    <rPh sb="28" eb="29">
      <t>リョウ</t>
    </rPh>
    <phoneticPr fontId="4"/>
  </si>
  <si>
    <r>
      <t xml:space="preserve">窓 </t>
    </r>
    <r>
      <rPr>
        <b/>
        <sz val="11"/>
        <rFont val="HG丸ｺﾞｼｯｸM-PRO"/>
        <family val="3"/>
        <charset val="128"/>
      </rPr>
      <t>＜北面＞</t>
    </r>
    <r>
      <rPr>
        <sz val="11"/>
        <rFont val="HG丸ｺﾞｼｯｸM-PRO"/>
        <family val="3"/>
        <charset val="128"/>
      </rPr>
      <t xml:space="preserve"> 各値合計</t>
    </r>
    <rPh sb="0" eb="1">
      <t>マド</t>
    </rPh>
    <rPh sb="3" eb="4">
      <t>キタ</t>
    </rPh>
    <rPh sb="4" eb="5">
      <t>メン</t>
    </rPh>
    <rPh sb="7" eb="8">
      <t>カク</t>
    </rPh>
    <rPh sb="8" eb="9">
      <t>アタイ</t>
    </rPh>
    <rPh sb="9" eb="11">
      <t>ゴウケイ</t>
    </rPh>
    <phoneticPr fontId="4"/>
  </si>
  <si>
    <r>
      <t xml:space="preserve">　ドア </t>
    </r>
    <r>
      <rPr>
        <b/>
        <sz val="11"/>
        <rFont val="HG丸ｺﾞｼｯｸM-PRO"/>
        <family val="3"/>
        <charset val="128"/>
      </rPr>
      <t>＜北面＞</t>
    </r>
    <r>
      <rPr>
        <sz val="11"/>
        <rFont val="HG丸ｺﾞｼｯｸM-PRO"/>
        <family val="3"/>
        <charset val="128"/>
      </rPr>
      <t xml:space="preserve"> 各値合計</t>
    </r>
    <rPh sb="5" eb="6">
      <t>キタ</t>
    </rPh>
    <phoneticPr fontId="4"/>
  </si>
  <si>
    <t>北面</t>
    <rPh sb="0" eb="1">
      <t>キタ</t>
    </rPh>
    <rPh sb="1" eb="2">
      <t>メン</t>
    </rPh>
    <phoneticPr fontId="4"/>
  </si>
  <si>
    <t>　注５：各シートの</t>
    <rPh sb="1" eb="2">
      <t>チュウ</t>
    </rPh>
    <rPh sb="4" eb="5">
      <t>カク</t>
    </rPh>
    <phoneticPr fontId="4"/>
  </si>
  <si>
    <t xml:space="preserve"> 部分に入力するか、あるいはドロップボックスから選択してください。</t>
    <rPh sb="1" eb="3">
      <t>ブブン</t>
    </rPh>
    <rPh sb="4" eb="6">
      <t>ニュウリョク</t>
    </rPh>
    <rPh sb="24" eb="26">
      <t>センタク</t>
    </rPh>
    <phoneticPr fontId="4"/>
  </si>
  <si>
    <t>黄色</t>
    <rPh sb="0" eb="2">
      <t>キイロ</t>
    </rPh>
    <phoneticPr fontId="4"/>
  </si>
  <si>
    <t>⊿R</t>
  </si>
  <si>
    <t>⊿R</t>
    <phoneticPr fontId="4"/>
  </si>
  <si>
    <t>Ui</t>
  </si>
  <si>
    <t>Ui</t>
    <phoneticPr fontId="4"/>
  </si>
  <si>
    <t>補正熱貫流率</t>
  </si>
  <si>
    <t>補正熱貫流率</t>
    <rPh sb="0" eb="2">
      <t>ホセイ</t>
    </rPh>
    <rPh sb="2" eb="3">
      <t>ネツ</t>
    </rPh>
    <rPh sb="3" eb="5">
      <t>カンリュウ</t>
    </rPh>
    <rPh sb="5" eb="6">
      <t>リツ</t>
    </rPh>
    <phoneticPr fontId="4"/>
  </si>
  <si>
    <t>　注６：各シートに入力する寸法は、メートル単位で入力して下さい。</t>
    <rPh sb="1" eb="2">
      <t>チュウ</t>
    </rPh>
    <rPh sb="4" eb="5">
      <t>カク</t>
    </rPh>
    <rPh sb="9" eb="11">
      <t>ニュウリョク</t>
    </rPh>
    <rPh sb="13" eb="15">
      <t>スンポウ</t>
    </rPh>
    <rPh sb="21" eb="23">
      <t>タンイ</t>
    </rPh>
    <rPh sb="24" eb="26">
      <t>ニュウリョク</t>
    </rPh>
    <rPh sb="28" eb="29">
      <t>クダ</t>
    </rPh>
    <phoneticPr fontId="4"/>
  </si>
  <si>
    <t>温度差
係数</t>
    <rPh sb="0" eb="3">
      <t>オンドサ</t>
    </rPh>
    <rPh sb="4" eb="6">
      <t>ケイスウ</t>
    </rPh>
    <phoneticPr fontId="4"/>
  </si>
  <si>
    <t>3）外壁・界壁等の入力</t>
    <rPh sb="2" eb="4">
      <t>ガイヘキ</t>
    </rPh>
    <rPh sb="5" eb="6">
      <t>カイ</t>
    </rPh>
    <rPh sb="6" eb="7">
      <t>ヘキ</t>
    </rPh>
    <rPh sb="7" eb="8">
      <t>ナド</t>
    </rPh>
    <rPh sb="9" eb="11">
      <t>ニュウリョク</t>
    </rPh>
    <phoneticPr fontId="4"/>
  </si>
  <si>
    <r>
      <t xml:space="preserve">外壁・界壁等 </t>
    </r>
    <r>
      <rPr>
        <b/>
        <sz val="11"/>
        <rFont val="HG丸ｺﾞｼｯｸM-PRO"/>
        <family val="3"/>
        <charset val="128"/>
      </rPr>
      <t>＜北面＞</t>
    </r>
    <r>
      <rPr>
        <sz val="11"/>
        <rFont val="HG丸ｺﾞｼｯｸM-PRO"/>
        <family val="3"/>
        <charset val="128"/>
      </rPr>
      <t xml:space="preserve"> 各値合計</t>
    </r>
    <rPh sb="0" eb="2">
      <t>ガイヘキ</t>
    </rPh>
    <rPh sb="3" eb="4">
      <t>カイ</t>
    </rPh>
    <rPh sb="4" eb="5">
      <t>ヘキ</t>
    </rPh>
    <rPh sb="5" eb="6">
      <t>ナド</t>
    </rPh>
    <rPh sb="8" eb="9">
      <t>キタ</t>
    </rPh>
    <phoneticPr fontId="4"/>
  </si>
  <si>
    <t>3）省エネルギー基準外皮性能適合可否結果</t>
    <phoneticPr fontId="4"/>
  </si>
  <si>
    <t>計算結果</t>
  </si>
  <si>
    <t>基準値</t>
  </si>
  <si>
    <t>判定</t>
  </si>
  <si>
    <t>W/（㎡K）</t>
    <phoneticPr fontId="4"/>
  </si>
  <si>
    <t>外皮性能基準値</t>
    <rPh sb="0" eb="2">
      <t>ガイヒ</t>
    </rPh>
    <rPh sb="2" eb="4">
      <t>セイノウ</t>
    </rPh>
    <rPh sb="4" eb="7">
      <t>キジュンチ</t>
    </rPh>
    <phoneticPr fontId="4"/>
  </si>
  <si>
    <t>2）ドアの入力</t>
    <phoneticPr fontId="4"/>
  </si>
  <si>
    <t>地域区分</t>
    <rPh sb="0" eb="2">
      <t>チイキ</t>
    </rPh>
    <rPh sb="2" eb="4">
      <t>クブン</t>
    </rPh>
    <phoneticPr fontId="4"/>
  </si>
  <si>
    <t>1）構造熱橋部の入力</t>
    <rPh sb="2" eb="4">
      <t>コウゾウ</t>
    </rPh>
    <rPh sb="4" eb="5">
      <t>ネッ</t>
    </rPh>
    <rPh sb="5" eb="6">
      <t>キョウ</t>
    </rPh>
    <rPh sb="6" eb="7">
      <t>ブ</t>
    </rPh>
    <phoneticPr fontId="4"/>
  </si>
  <si>
    <t>温度差係数</t>
    <rPh sb="0" eb="2">
      <t>オンド</t>
    </rPh>
    <rPh sb="2" eb="3">
      <t>サ</t>
    </rPh>
    <rPh sb="3" eb="5">
      <t>ケイスウ</t>
    </rPh>
    <phoneticPr fontId="4"/>
  </si>
  <si>
    <t>備考欄</t>
    <rPh sb="0" eb="2">
      <t>ビコウ</t>
    </rPh>
    <rPh sb="2" eb="3">
      <t>ラン</t>
    </rPh>
    <phoneticPr fontId="4"/>
  </si>
  <si>
    <t>方位</t>
    <rPh sb="0" eb="2">
      <t>ホウイ</t>
    </rPh>
    <phoneticPr fontId="4"/>
  </si>
  <si>
    <t>屋根</t>
    <rPh sb="0" eb="2">
      <t>ヤネ</t>
    </rPh>
    <phoneticPr fontId="4"/>
  </si>
  <si>
    <t>天井</t>
    <rPh sb="0" eb="2">
      <t>テンジョウ</t>
    </rPh>
    <phoneticPr fontId="4"/>
  </si>
  <si>
    <t>壁（北西）</t>
    <rPh sb="3" eb="4">
      <t>ニシ</t>
    </rPh>
    <phoneticPr fontId="4"/>
  </si>
  <si>
    <t>壁（北東）</t>
    <rPh sb="3" eb="4">
      <t>トウ</t>
    </rPh>
    <phoneticPr fontId="4"/>
  </si>
  <si>
    <t>壁（東）</t>
    <rPh sb="2" eb="3">
      <t>ヒガシ</t>
    </rPh>
    <phoneticPr fontId="4"/>
  </si>
  <si>
    <t>壁（南東）</t>
    <rPh sb="2" eb="4">
      <t>ナントウ</t>
    </rPh>
    <phoneticPr fontId="4"/>
  </si>
  <si>
    <t>壁（南）</t>
    <rPh sb="2" eb="3">
      <t>ミナミ</t>
    </rPh>
    <phoneticPr fontId="4"/>
  </si>
  <si>
    <t>壁（南西）</t>
    <rPh sb="2" eb="4">
      <t>ナンセイ</t>
    </rPh>
    <phoneticPr fontId="4"/>
  </si>
  <si>
    <t>壁（西）</t>
    <rPh sb="2" eb="3">
      <t>ニシ</t>
    </rPh>
    <phoneticPr fontId="4"/>
  </si>
  <si>
    <t>ピット等</t>
    <rPh sb="3" eb="4">
      <t>トウ</t>
    </rPh>
    <phoneticPr fontId="4"/>
  </si>
  <si>
    <t>その他床</t>
    <rPh sb="2" eb="3">
      <t>タ</t>
    </rPh>
    <rPh sb="3" eb="4">
      <t>ユカ</t>
    </rPh>
    <phoneticPr fontId="4"/>
  </si>
  <si>
    <t>外気床</t>
    <rPh sb="0" eb="2">
      <t>ガイキ</t>
    </rPh>
    <rPh sb="2" eb="3">
      <t>ユカ</t>
    </rPh>
    <phoneticPr fontId="4"/>
  </si>
  <si>
    <t>冷房期</t>
    <rPh sb="0" eb="3">
      <t>レイボウキ</t>
    </rPh>
    <phoneticPr fontId="4"/>
  </si>
  <si>
    <t>熱橋部</t>
    <rPh sb="0" eb="1">
      <t>ネッ</t>
    </rPh>
    <rPh sb="1" eb="2">
      <t>キョウ</t>
    </rPh>
    <rPh sb="2" eb="3">
      <t>ブ</t>
    </rPh>
    <phoneticPr fontId="4"/>
  </si>
  <si>
    <t>住戸番号</t>
    <rPh sb="0" eb="1">
      <t>ジュウ</t>
    </rPh>
    <rPh sb="1" eb="2">
      <t>コ</t>
    </rPh>
    <rPh sb="2" eb="4">
      <t>バンゴウ</t>
    </rPh>
    <phoneticPr fontId="4"/>
  </si>
  <si>
    <r>
      <t xml:space="preserve">2）住宅 </t>
    </r>
    <r>
      <rPr>
        <b/>
        <sz val="11"/>
        <rFont val="HG丸ｺﾞｼｯｸM-PRO"/>
        <family val="3"/>
        <charset val="128"/>
      </rPr>
      <t>＜構造熱橋部＞</t>
    </r>
    <r>
      <rPr>
        <sz val="11"/>
        <rFont val="HG丸ｺﾞｼｯｸM-PRO"/>
        <family val="3"/>
        <charset val="128"/>
      </rPr>
      <t xml:space="preserve"> 計算結果</t>
    </r>
    <rPh sb="6" eb="8">
      <t>コウゾウ</t>
    </rPh>
    <rPh sb="8" eb="9">
      <t>ネッ</t>
    </rPh>
    <rPh sb="9" eb="10">
      <t>キョウ</t>
    </rPh>
    <rPh sb="10" eb="11">
      <t>ブ</t>
    </rPh>
    <phoneticPr fontId="4"/>
  </si>
  <si>
    <r>
      <t>内訳計算シートＣ　　</t>
    </r>
    <r>
      <rPr>
        <b/>
        <sz val="14"/>
        <rFont val="HG丸ｺﾞｼｯｸM-PRO"/>
        <family val="3"/>
        <charset val="128"/>
      </rPr>
      <t>＜屋根・天井・床等＞</t>
    </r>
    <r>
      <rPr>
        <sz val="12"/>
        <rFont val="HG丸ｺﾞｼｯｸM-PRO"/>
        <family val="3"/>
        <charset val="128"/>
      </rPr>
      <t xml:space="preserve"> の外皮熱損失量と日射熱取得量</t>
    </r>
    <rPh sb="0" eb="2">
      <t>ウチワケ</t>
    </rPh>
    <rPh sb="2" eb="4">
      <t>ケイサン</t>
    </rPh>
    <rPh sb="17" eb="18">
      <t>ユカ</t>
    </rPh>
    <rPh sb="18" eb="19">
      <t>トウ</t>
    </rPh>
    <rPh sb="29" eb="31">
      <t>ニッシャ</t>
    </rPh>
    <rPh sb="31" eb="32">
      <t>ネツ</t>
    </rPh>
    <rPh sb="32" eb="34">
      <t>シュトク</t>
    </rPh>
    <rPh sb="34" eb="35">
      <t>リョウ</t>
    </rPh>
    <phoneticPr fontId="4"/>
  </si>
  <si>
    <r>
      <t>内訳計算シートＢ　　</t>
    </r>
    <r>
      <rPr>
        <b/>
        <sz val="12"/>
        <rFont val="HG丸ｺﾞｼｯｸM-PRO"/>
        <family val="3"/>
        <charset val="128"/>
      </rPr>
      <t>＜構造熱橋部＞</t>
    </r>
    <r>
      <rPr>
        <sz val="12"/>
        <rFont val="HG丸ｺﾞｼｯｸM-PRO"/>
        <family val="3"/>
        <charset val="128"/>
      </rPr>
      <t xml:space="preserve"> の外皮熱損失量と日射熱取得量</t>
    </r>
    <rPh sb="11" eb="13">
      <t>コウゾウ</t>
    </rPh>
    <rPh sb="13" eb="14">
      <t>ネツ</t>
    </rPh>
    <rPh sb="14" eb="15">
      <t>ハシ</t>
    </rPh>
    <rPh sb="15" eb="16">
      <t>ブ</t>
    </rPh>
    <phoneticPr fontId="4"/>
  </si>
  <si>
    <t>部位</t>
    <rPh sb="0" eb="2">
      <t>ブイ</t>
    </rPh>
    <phoneticPr fontId="4"/>
  </si>
  <si>
    <t>東</t>
    <rPh sb="0" eb="1">
      <t>ヒガシ</t>
    </rPh>
    <phoneticPr fontId="4"/>
  </si>
  <si>
    <t>南東</t>
    <rPh sb="0" eb="2">
      <t>ナントウ</t>
    </rPh>
    <phoneticPr fontId="4"/>
  </si>
  <si>
    <t>南</t>
    <rPh sb="0" eb="1">
      <t>ミナミ</t>
    </rPh>
    <phoneticPr fontId="4"/>
  </si>
  <si>
    <t>南西</t>
    <rPh sb="0" eb="2">
      <t>ナンセイ</t>
    </rPh>
    <phoneticPr fontId="4"/>
  </si>
  <si>
    <t>西</t>
    <rPh sb="0" eb="1">
      <t>ニシ</t>
    </rPh>
    <phoneticPr fontId="4"/>
  </si>
  <si>
    <t>北東</t>
    <rPh sb="1" eb="2">
      <t>トウ</t>
    </rPh>
    <phoneticPr fontId="4"/>
  </si>
  <si>
    <t>北西</t>
    <rPh sb="1" eb="2">
      <t>ニシ</t>
    </rPh>
    <phoneticPr fontId="4"/>
  </si>
  <si>
    <t>等級４</t>
    <rPh sb="0" eb="2">
      <t>トウキュウ</t>
    </rPh>
    <phoneticPr fontId="4"/>
  </si>
  <si>
    <t>等級３</t>
    <rPh sb="0" eb="2">
      <t>トウキュウ</t>
    </rPh>
    <phoneticPr fontId="4"/>
  </si>
  <si>
    <t>等級２</t>
    <rPh sb="0" eb="2">
      <t>トウキュウ</t>
    </rPh>
    <phoneticPr fontId="4"/>
  </si>
  <si>
    <t>-</t>
    <phoneticPr fontId="4"/>
  </si>
  <si>
    <t>等級２</t>
    <phoneticPr fontId="4"/>
  </si>
  <si>
    <r>
      <t xml:space="preserve">3）住宅 </t>
    </r>
    <r>
      <rPr>
        <b/>
        <sz val="11"/>
        <rFont val="HG丸ｺﾞｼｯｸM-PRO"/>
        <family val="3"/>
        <charset val="128"/>
      </rPr>
      <t>＜屋根・天井・床等＞</t>
    </r>
    <r>
      <rPr>
        <sz val="11"/>
        <rFont val="HG丸ｺﾞｼｯｸM-PRO"/>
        <family val="3"/>
        <charset val="128"/>
      </rPr>
      <t xml:space="preserve"> 計算結果</t>
    </r>
    <rPh sb="2" eb="4">
      <t>ジュウタク</t>
    </rPh>
    <rPh sb="12" eb="13">
      <t>ユカ</t>
    </rPh>
    <rPh sb="13" eb="14">
      <t>トウ</t>
    </rPh>
    <rPh sb="16" eb="18">
      <t>ケイサン</t>
    </rPh>
    <rPh sb="18" eb="20">
      <t>ケッカ</t>
    </rPh>
    <phoneticPr fontId="4"/>
  </si>
  <si>
    <r>
      <t>内訳計算シートＡ　　</t>
    </r>
    <r>
      <rPr>
        <b/>
        <sz val="14"/>
        <rFont val="HG丸ｺﾞｼｯｸM-PRO"/>
        <family val="3"/>
        <charset val="128"/>
      </rPr>
      <t>＜南東面＞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3">
      <t>ナントウ</t>
    </rPh>
    <rPh sb="13" eb="14">
      <t>メン</t>
    </rPh>
    <rPh sb="24" eb="26">
      <t>ニッシャ</t>
    </rPh>
    <rPh sb="26" eb="27">
      <t>ネツ</t>
    </rPh>
    <rPh sb="27" eb="29">
      <t>シュトク</t>
    </rPh>
    <rPh sb="29" eb="30">
      <t>リョウ</t>
    </rPh>
    <phoneticPr fontId="4"/>
  </si>
  <si>
    <r>
      <t xml:space="preserve">窓 </t>
    </r>
    <r>
      <rPr>
        <b/>
        <sz val="11"/>
        <rFont val="HG丸ｺﾞｼｯｸM-PRO"/>
        <family val="3"/>
        <charset val="128"/>
      </rPr>
      <t>＜南東面＞</t>
    </r>
    <r>
      <rPr>
        <sz val="11"/>
        <rFont val="HG丸ｺﾞｼｯｸM-PRO"/>
        <family val="3"/>
        <charset val="128"/>
      </rPr>
      <t xml:space="preserve"> 各値合計</t>
    </r>
    <rPh sb="0" eb="1">
      <t>マド</t>
    </rPh>
    <rPh sb="3" eb="5">
      <t>ナントウ</t>
    </rPh>
    <rPh sb="5" eb="6">
      <t>メン</t>
    </rPh>
    <rPh sb="8" eb="9">
      <t>カク</t>
    </rPh>
    <rPh sb="9" eb="10">
      <t>アタイ</t>
    </rPh>
    <rPh sb="10" eb="12">
      <t>ゴウケイ</t>
    </rPh>
    <phoneticPr fontId="4"/>
  </si>
  <si>
    <r>
      <t xml:space="preserve">　ドア </t>
    </r>
    <r>
      <rPr>
        <b/>
        <sz val="11"/>
        <rFont val="HG丸ｺﾞｼｯｸM-PRO"/>
        <family val="3"/>
        <charset val="128"/>
      </rPr>
      <t>＜南東面＞</t>
    </r>
    <r>
      <rPr>
        <sz val="11"/>
        <rFont val="HG丸ｺﾞｼｯｸM-PRO"/>
        <family val="3"/>
        <charset val="128"/>
      </rPr>
      <t xml:space="preserve"> 各値合計</t>
    </r>
    <rPh sb="5" eb="7">
      <t>ナントウ</t>
    </rPh>
    <phoneticPr fontId="4"/>
  </si>
  <si>
    <r>
      <t xml:space="preserve">外壁・界壁等 </t>
    </r>
    <r>
      <rPr>
        <b/>
        <sz val="11"/>
        <rFont val="HG丸ｺﾞｼｯｸM-PRO"/>
        <family val="3"/>
        <charset val="128"/>
      </rPr>
      <t>＜南東面＞</t>
    </r>
    <r>
      <rPr>
        <sz val="11"/>
        <rFont val="HG丸ｺﾞｼｯｸM-PRO"/>
        <family val="3"/>
        <charset val="128"/>
      </rPr>
      <t xml:space="preserve"> 各値合計</t>
    </r>
    <rPh sb="0" eb="2">
      <t>ガイヘキ</t>
    </rPh>
    <rPh sb="3" eb="4">
      <t>カイ</t>
    </rPh>
    <rPh sb="4" eb="5">
      <t>ヘキ</t>
    </rPh>
    <rPh sb="5" eb="6">
      <t>ナド</t>
    </rPh>
    <rPh sb="8" eb="10">
      <t>ナントウ</t>
    </rPh>
    <phoneticPr fontId="4"/>
  </si>
  <si>
    <t>南東面</t>
    <rPh sb="0" eb="2">
      <t>ナントウ</t>
    </rPh>
    <rPh sb="2" eb="3">
      <t>メン</t>
    </rPh>
    <phoneticPr fontId="4"/>
  </si>
  <si>
    <r>
      <t xml:space="preserve">　ドア </t>
    </r>
    <r>
      <rPr>
        <b/>
        <sz val="11"/>
        <rFont val="HG丸ｺﾞｼｯｸM-PRO"/>
        <family val="3"/>
        <charset val="128"/>
      </rPr>
      <t>＜南面＞</t>
    </r>
    <r>
      <rPr>
        <sz val="11"/>
        <rFont val="HG丸ｺﾞｼｯｸM-PRO"/>
        <family val="3"/>
        <charset val="128"/>
      </rPr>
      <t xml:space="preserve"> 各値合計</t>
    </r>
    <rPh sb="5" eb="6">
      <t>ナン</t>
    </rPh>
    <phoneticPr fontId="4"/>
  </si>
  <si>
    <r>
      <t>内訳計算シートＡ　　</t>
    </r>
    <r>
      <rPr>
        <b/>
        <sz val="14"/>
        <rFont val="HG丸ｺﾞｼｯｸM-PRO"/>
        <family val="3"/>
        <charset val="128"/>
      </rPr>
      <t>＜南西面＞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3">
      <t>ナンセイ</t>
    </rPh>
    <rPh sb="13" eb="14">
      <t>メン</t>
    </rPh>
    <rPh sb="24" eb="26">
      <t>ニッシャ</t>
    </rPh>
    <rPh sb="26" eb="27">
      <t>ネツ</t>
    </rPh>
    <rPh sb="27" eb="29">
      <t>シュトク</t>
    </rPh>
    <rPh sb="29" eb="30">
      <t>リョウ</t>
    </rPh>
    <phoneticPr fontId="4"/>
  </si>
  <si>
    <r>
      <t xml:space="preserve">窓 </t>
    </r>
    <r>
      <rPr>
        <b/>
        <sz val="11"/>
        <rFont val="HG丸ｺﾞｼｯｸM-PRO"/>
        <family val="3"/>
        <charset val="128"/>
      </rPr>
      <t>＜南西面＞</t>
    </r>
    <r>
      <rPr>
        <sz val="11"/>
        <rFont val="HG丸ｺﾞｼｯｸM-PRO"/>
        <family val="3"/>
        <charset val="128"/>
      </rPr>
      <t xml:space="preserve"> 各値合計</t>
    </r>
    <rPh sb="0" eb="1">
      <t>マド</t>
    </rPh>
    <rPh sb="3" eb="5">
      <t>ナンセイ</t>
    </rPh>
    <rPh sb="5" eb="6">
      <t>メン</t>
    </rPh>
    <rPh sb="8" eb="9">
      <t>カク</t>
    </rPh>
    <rPh sb="9" eb="10">
      <t>アタイ</t>
    </rPh>
    <rPh sb="10" eb="12">
      <t>ゴウケイ</t>
    </rPh>
    <phoneticPr fontId="4"/>
  </si>
  <si>
    <r>
      <t xml:space="preserve">　ドア </t>
    </r>
    <r>
      <rPr>
        <b/>
        <sz val="11"/>
        <rFont val="HG丸ｺﾞｼｯｸM-PRO"/>
        <family val="3"/>
        <charset val="128"/>
      </rPr>
      <t>＜南西面＞</t>
    </r>
    <r>
      <rPr>
        <sz val="11"/>
        <rFont val="HG丸ｺﾞｼｯｸM-PRO"/>
        <family val="3"/>
        <charset val="128"/>
      </rPr>
      <t xml:space="preserve"> 各値合計</t>
    </r>
    <rPh sb="5" eb="7">
      <t>ナンセイ</t>
    </rPh>
    <phoneticPr fontId="4"/>
  </si>
  <si>
    <r>
      <t xml:space="preserve">外壁・界壁等 </t>
    </r>
    <r>
      <rPr>
        <b/>
        <sz val="11"/>
        <rFont val="HG丸ｺﾞｼｯｸM-PRO"/>
        <family val="3"/>
        <charset val="128"/>
      </rPr>
      <t>＜南西面＞</t>
    </r>
    <r>
      <rPr>
        <sz val="11"/>
        <rFont val="HG丸ｺﾞｼｯｸM-PRO"/>
        <family val="3"/>
        <charset val="128"/>
      </rPr>
      <t xml:space="preserve"> 各値合計</t>
    </r>
    <rPh sb="0" eb="2">
      <t>ガイヘキ</t>
    </rPh>
    <rPh sb="3" eb="4">
      <t>カイ</t>
    </rPh>
    <rPh sb="4" eb="5">
      <t>ヘキ</t>
    </rPh>
    <rPh sb="5" eb="6">
      <t>ナド</t>
    </rPh>
    <rPh sb="8" eb="10">
      <t>ナンセイ</t>
    </rPh>
    <phoneticPr fontId="4"/>
  </si>
  <si>
    <t>南西面</t>
    <rPh sb="0" eb="2">
      <t>ナンセイ</t>
    </rPh>
    <rPh sb="2" eb="3">
      <t>メン</t>
    </rPh>
    <phoneticPr fontId="4"/>
  </si>
  <si>
    <r>
      <t>内訳計算シートＡ　　</t>
    </r>
    <r>
      <rPr>
        <b/>
        <sz val="14"/>
        <rFont val="HG丸ｺﾞｼｯｸM-PRO"/>
        <family val="3"/>
        <charset val="128"/>
      </rPr>
      <t>＜西面＞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2">
      <t>ニシ</t>
    </rPh>
    <rPh sb="12" eb="13">
      <t>メン</t>
    </rPh>
    <rPh sb="23" eb="25">
      <t>ニッシャ</t>
    </rPh>
    <rPh sb="25" eb="26">
      <t>ネツ</t>
    </rPh>
    <rPh sb="26" eb="28">
      <t>シュトク</t>
    </rPh>
    <rPh sb="28" eb="29">
      <t>リョウ</t>
    </rPh>
    <phoneticPr fontId="4"/>
  </si>
  <si>
    <r>
      <t xml:space="preserve">窓 </t>
    </r>
    <r>
      <rPr>
        <b/>
        <sz val="11"/>
        <rFont val="HG丸ｺﾞｼｯｸM-PRO"/>
        <family val="3"/>
        <charset val="128"/>
      </rPr>
      <t>＜西面＞</t>
    </r>
    <r>
      <rPr>
        <sz val="11"/>
        <rFont val="HG丸ｺﾞｼｯｸM-PRO"/>
        <family val="3"/>
        <charset val="128"/>
      </rPr>
      <t xml:space="preserve"> 各値合計</t>
    </r>
    <rPh sb="0" eb="1">
      <t>マド</t>
    </rPh>
    <rPh sb="3" eb="4">
      <t>ニシ</t>
    </rPh>
    <rPh sb="4" eb="5">
      <t>メン</t>
    </rPh>
    <rPh sb="7" eb="8">
      <t>カク</t>
    </rPh>
    <rPh sb="8" eb="9">
      <t>アタイ</t>
    </rPh>
    <rPh sb="9" eb="11">
      <t>ゴウケイ</t>
    </rPh>
    <phoneticPr fontId="4"/>
  </si>
  <si>
    <r>
      <t xml:space="preserve">　ドア </t>
    </r>
    <r>
      <rPr>
        <b/>
        <sz val="11"/>
        <rFont val="HG丸ｺﾞｼｯｸM-PRO"/>
        <family val="3"/>
        <charset val="128"/>
      </rPr>
      <t>＜西面＞</t>
    </r>
    <r>
      <rPr>
        <sz val="11"/>
        <rFont val="HG丸ｺﾞｼｯｸM-PRO"/>
        <family val="3"/>
        <charset val="128"/>
      </rPr>
      <t xml:space="preserve"> 各値合計</t>
    </r>
    <rPh sb="5" eb="6">
      <t>ニシ</t>
    </rPh>
    <phoneticPr fontId="4"/>
  </si>
  <si>
    <r>
      <t xml:space="preserve">外壁・界壁等 </t>
    </r>
    <r>
      <rPr>
        <b/>
        <sz val="11"/>
        <rFont val="HG丸ｺﾞｼｯｸM-PRO"/>
        <family val="3"/>
        <charset val="128"/>
      </rPr>
      <t>＜西面＞</t>
    </r>
    <r>
      <rPr>
        <sz val="11"/>
        <rFont val="HG丸ｺﾞｼｯｸM-PRO"/>
        <family val="3"/>
        <charset val="128"/>
      </rPr>
      <t xml:space="preserve"> 各値合計</t>
    </r>
    <rPh sb="0" eb="2">
      <t>ガイヘキ</t>
    </rPh>
    <rPh sb="3" eb="4">
      <t>カイ</t>
    </rPh>
    <rPh sb="4" eb="5">
      <t>ヘキ</t>
    </rPh>
    <rPh sb="5" eb="6">
      <t>ナド</t>
    </rPh>
    <rPh sb="8" eb="9">
      <t>ニシ</t>
    </rPh>
    <phoneticPr fontId="4"/>
  </si>
  <si>
    <t>西面</t>
    <rPh sb="0" eb="1">
      <t>ニシ</t>
    </rPh>
    <rPh sb="1" eb="2">
      <t>メン</t>
    </rPh>
    <phoneticPr fontId="4"/>
  </si>
  <si>
    <r>
      <t>内訳計算シートＡ　　</t>
    </r>
    <r>
      <rPr>
        <b/>
        <sz val="14"/>
        <rFont val="HG丸ｺﾞｼｯｸM-PRO"/>
        <family val="3"/>
        <charset val="128"/>
      </rPr>
      <t>＜北西面＞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2">
      <t>キタ</t>
    </rPh>
    <rPh sb="12" eb="13">
      <t>ニシ</t>
    </rPh>
    <rPh sb="13" eb="14">
      <t>メン</t>
    </rPh>
    <rPh sb="24" eb="26">
      <t>ニッシャ</t>
    </rPh>
    <rPh sb="26" eb="27">
      <t>ネツ</t>
    </rPh>
    <rPh sb="27" eb="29">
      <t>シュトク</t>
    </rPh>
    <rPh sb="29" eb="30">
      <t>リョウ</t>
    </rPh>
    <phoneticPr fontId="4"/>
  </si>
  <si>
    <r>
      <t xml:space="preserve">窓 </t>
    </r>
    <r>
      <rPr>
        <b/>
        <sz val="11"/>
        <rFont val="HG丸ｺﾞｼｯｸM-PRO"/>
        <family val="3"/>
        <charset val="128"/>
      </rPr>
      <t>＜北西面＞</t>
    </r>
    <r>
      <rPr>
        <sz val="11"/>
        <rFont val="HG丸ｺﾞｼｯｸM-PRO"/>
        <family val="3"/>
        <charset val="128"/>
      </rPr>
      <t xml:space="preserve"> 各値合計</t>
    </r>
    <rPh sb="0" eb="1">
      <t>マド</t>
    </rPh>
    <rPh sb="3" eb="4">
      <t>キタ</t>
    </rPh>
    <rPh sb="4" eb="5">
      <t>ニシ</t>
    </rPh>
    <rPh sb="5" eb="6">
      <t>メン</t>
    </rPh>
    <rPh sb="8" eb="9">
      <t>カク</t>
    </rPh>
    <rPh sb="9" eb="10">
      <t>アタイ</t>
    </rPh>
    <rPh sb="10" eb="12">
      <t>ゴウケイ</t>
    </rPh>
    <phoneticPr fontId="4"/>
  </si>
  <si>
    <r>
      <t xml:space="preserve">　ドア </t>
    </r>
    <r>
      <rPr>
        <b/>
        <sz val="11"/>
        <rFont val="HG丸ｺﾞｼｯｸM-PRO"/>
        <family val="3"/>
        <charset val="128"/>
      </rPr>
      <t>＜北西面＞</t>
    </r>
    <r>
      <rPr>
        <sz val="11"/>
        <rFont val="HG丸ｺﾞｼｯｸM-PRO"/>
        <family val="3"/>
        <charset val="128"/>
      </rPr>
      <t xml:space="preserve"> 各値合計</t>
    </r>
    <rPh sb="5" eb="6">
      <t>キタ</t>
    </rPh>
    <rPh sb="6" eb="7">
      <t>ニシ</t>
    </rPh>
    <phoneticPr fontId="4"/>
  </si>
  <si>
    <r>
      <t xml:space="preserve">外壁・界壁等 </t>
    </r>
    <r>
      <rPr>
        <b/>
        <sz val="11"/>
        <rFont val="HG丸ｺﾞｼｯｸM-PRO"/>
        <family val="3"/>
        <charset val="128"/>
      </rPr>
      <t>＜北西面＞</t>
    </r>
    <r>
      <rPr>
        <sz val="11"/>
        <rFont val="HG丸ｺﾞｼｯｸM-PRO"/>
        <family val="3"/>
        <charset val="128"/>
      </rPr>
      <t xml:space="preserve"> 各値合計</t>
    </r>
    <rPh sb="0" eb="2">
      <t>ガイヘキ</t>
    </rPh>
    <rPh sb="3" eb="4">
      <t>カイ</t>
    </rPh>
    <rPh sb="4" eb="5">
      <t>ヘキ</t>
    </rPh>
    <rPh sb="5" eb="6">
      <t>ナド</t>
    </rPh>
    <rPh sb="8" eb="9">
      <t>キタ</t>
    </rPh>
    <rPh sb="9" eb="10">
      <t>ニシ</t>
    </rPh>
    <phoneticPr fontId="4"/>
  </si>
  <si>
    <t>北西面</t>
    <rPh sb="0" eb="1">
      <t>キタ</t>
    </rPh>
    <rPh sb="1" eb="2">
      <t>ニシ</t>
    </rPh>
    <rPh sb="2" eb="3">
      <t>メン</t>
    </rPh>
    <phoneticPr fontId="4"/>
  </si>
  <si>
    <t>高さ</t>
    <phoneticPr fontId="4"/>
  </si>
  <si>
    <t>1）窓の入力</t>
    <phoneticPr fontId="4"/>
  </si>
  <si>
    <t>日射の有無</t>
    <rPh sb="0" eb="2">
      <t>ニッシャ</t>
    </rPh>
    <rPh sb="3" eb="5">
      <t>ウム</t>
    </rPh>
    <phoneticPr fontId="4"/>
  </si>
  <si>
    <r>
      <t>内訳計算シートＡ　　</t>
    </r>
    <r>
      <rPr>
        <b/>
        <sz val="14"/>
        <rFont val="HG丸ｺﾞｼｯｸM-PRO"/>
        <family val="3"/>
        <charset val="128"/>
      </rPr>
      <t>＜南面＞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2">
      <t>ナン</t>
    </rPh>
    <rPh sb="12" eb="13">
      <t>メン</t>
    </rPh>
    <rPh sb="23" eb="25">
      <t>ニッシャ</t>
    </rPh>
    <rPh sb="25" eb="26">
      <t>ネツ</t>
    </rPh>
    <rPh sb="26" eb="28">
      <t>シュトク</t>
    </rPh>
    <rPh sb="28" eb="29">
      <t>リョウ</t>
    </rPh>
    <phoneticPr fontId="4"/>
  </si>
  <si>
    <r>
      <t xml:space="preserve">窓 </t>
    </r>
    <r>
      <rPr>
        <b/>
        <sz val="11"/>
        <rFont val="HG丸ｺﾞｼｯｸM-PRO"/>
        <family val="3"/>
        <charset val="128"/>
      </rPr>
      <t>＜南面＞</t>
    </r>
    <r>
      <rPr>
        <sz val="11"/>
        <rFont val="HG丸ｺﾞｼｯｸM-PRO"/>
        <family val="3"/>
        <charset val="128"/>
      </rPr>
      <t xml:space="preserve"> 各値合計</t>
    </r>
    <rPh sb="0" eb="1">
      <t>マド</t>
    </rPh>
    <rPh sb="3" eb="4">
      <t>ナン</t>
    </rPh>
    <rPh sb="4" eb="5">
      <t>メン</t>
    </rPh>
    <rPh sb="7" eb="8">
      <t>カク</t>
    </rPh>
    <rPh sb="8" eb="9">
      <t>アタイ</t>
    </rPh>
    <rPh sb="9" eb="11">
      <t>ゴウケイ</t>
    </rPh>
    <phoneticPr fontId="4"/>
  </si>
  <si>
    <r>
      <t xml:space="preserve">外壁・界壁等 </t>
    </r>
    <r>
      <rPr>
        <b/>
        <sz val="11"/>
        <rFont val="HG丸ｺﾞｼｯｸM-PRO"/>
        <family val="3"/>
        <charset val="128"/>
      </rPr>
      <t>＜南面＞</t>
    </r>
    <r>
      <rPr>
        <sz val="11"/>
        <rFont val="HG丸ｺﾞｼｯｸM-PRO"/>
        <family val="3"/>
        <charset val="128"/>
      </rPr>
      <t xml:space="preserve"> 各値合計</t>
    </r>
    <rPh sb="0" eb="2">
      <t>ガイヘキ</t>
    </rPh>
    <rPh sb="3" eb="4">
      <t>カイ</t>
    </rPh>
    <rPh sb="4" eb="5">
      <t>ヘキ</t>
    </rPh>
    <rPh sb="5" eb="6">
      <t>ナド</t>
    </rPh>
    <rPh sb="8" eb="9">
      <t>ナン</t>
    </rPh>
    <phoneticPr fontId="4"/>
  </si>
  <si>
    <t>南面</t>
    <rPh sb="0" eb="1">
      <t>ナン</t>
    </rPh>
    <rPh sb="1" eb="2">
      <t>メン</t>
    </rPh>
    <phoneticPr fontId="4"/>
  </si>
  <si>
    <t>１（Ⅰa）</t>
    <phoneticPr fontId="4"/>
  </si>
  <si>
    <t>２（Ⅰb）</t>
    <phoneticPr fontId="4"/>
  </si>
  <si>
    <t>３（Ⅱ）</t>
    <phoneticPr fontId="4"/>
  </si>
  <si>
    <t>４（Ⅲ）</t>
    <phoneticPr fontId="4"/>
  </si>
  <si>
    <t>５（Ⅳa）</t>
    <phoneticPr fontId="4"/>
  </si>
  <si>
    <t>６（Ⅳb）</t>
    <phoneticPr fontId="4"/>
  </si>
  <si>
    <t>７（Ⅴ）</t>
    <phoneticPr fontId="4"/>
  </si>
  <si>
    <t>８（Ⅵ）</t>
    <phoneticPr fontId="4"/>
  </si>
  <si>
    <t>北</t>
    <phoneticPr fontId="4"/>
  </si>
  <si>
    <t>壁（北）</t>
    <phoneticPr fontId="4"/>
  </si>
  <si>
    <t>-</t>
    <phoneticPr fontId="4"/>
  </si>
  <si>
    <t>W/K</t>
    <phoneticPr fontId="4"/>
  </si>
  <si>
    <t>日射熱
取得の
加算</t>
    <rPh sb="2" eb="3">
      <t>ネツ</t>
    </rPh>
    <rPh sb="4" eb="6">
      <t>シュトク</t>
    </rPh>
    <rPh sb="8" eb="10">
      <t>カサン</t>
    </rPh>
    <phoneticPr fontId="4"/>
  </si>
  <si>
    <t>加算の
必要性</t>
    <rPh sb="0" eb="2">
      <t>カサン</t>
    </rPh>
    <rPh sb="4" eb="7">
      <t>ヒツヨウセイ</t>
    </rPh>
    <phoneticPr fontId="4"/>
  </si>
  <si>
    <t>日射熱取得</t>
    <rPh sb="0" eb="2">
      <t>ニッシャ</t>
    </rPh>
    <rPh sb="2" eb="3">
      <t>ネツ</t>
    </rPh>
    <rPh sb="3" eb="5">
      <t>シュトク</t>
    </rPh>
    <phoneticPr fontId="4"/>
  </si>
  <si>
    <r>
      <t>内訳計算シートＡ　　</t>
    </r>
    <r>
      <rPr>
        <b/>
        <sz val="14"/>
        <rFont val="HG丸ｺﾞｼｯｸM-PRO"/>
        <family val="3"/>
        <charset val="128"/>
      </rPr>
      <t>＜北東面＞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2">
      <t>キタ</t>
    </rPh>
    <rPh sb="12" eb="13">
      <t>ヒガシ</t>
    </rPh>
    <rPh sb="13" eb="14">
      <t>メン</t>
    </rPh>
    <rPh sb="24" eb="26">
      <t>ニッシャ</t>
    </rPh>
    <rPh sb="26" eb="27">
      <t>ネツ</t>
    </rPh>
    <rPh sb="27" eb="29">
      <t>シュトク</t>
    </rPh>
    <rPh sb="29" eb="30">
      <t>リョウ</t>
    </rPh>
    <phoneticPr fontId="4"/>
  </si>
  <si>
    <r>
      <t xml:space="preserve">窓 </t>
    </r>
    <r>
      <rPr>
        <b/>
        <sz val="11"/>
        <rFont val="HG丸ｺﾞｼｯｸM-PRO"/>
        <family val="3"/>
        <charset val="128"/>
      </rPr>
      <t>＜北東面＞</t>
    </r>
    <r>
      <rPr>
        <sz val="11"/>
        <rFont val="HG丸ｺﾞｼｯｸM-PRO"/>
        <family val="3"/>
        <charset val="128"/>
      </rPr>
      <t xml:space="preserve"> 各値合計</t>
    </r>
    <rPh sb="0" eb="1">
      <t>マド</t>
    </rPh>
    <rPh sb="3" eb="4">
      <t>キタ</t>
    </rPh>
    <rPh sb="4" eb="5">
      <t>ヒガシ</t>
    </rPh>
    <rPh sb="5" eb="6">
      <t>メン</t>
    </rPh>
    <rPh sb="8" eb="9">
      <t>カク</t>
    </rPh>
    <rPh sb="9" eb="10">
      <t>アタイ</t>
    </rPh>
    <rPh sb="10" eb="12">
      <t>ゴウケイ</t>
    </rPh>
    <phoneticPr fontId="4"/>
  </si>
  <si>
    <r>
      <t xml:space="preserve">　ドア </t>
    </r>
    <r>
      <rPr>
        <b/>
        <sz val="11"/>
        <rFont val="HG丸ｺﾞｼｯｸM-PRO"/>
        <family val="3"/>
        <charset val="128"/>
      </rPr>
      <t>＜北東面＞</t>
    </r>
    <r>
      <rPr>
        <sz val="11"/>
        <rFont val="HG丸ｺﾞｼｯｸM-PRO"/>
        <family val="3"/>
        <charset val="128"/>
      </rPr>
      <t xml:space="preserve"> 各値合計</t>
    </r>
    <rPh sb="5" eb="6">
      <t>キタ</t>
    </rPh>
    <rPh sb="6" eb="7">
      <t>ヒガシ</t>
    </rPh>
    <phoneticPr fontId="4"/>
  </si>
  <si>
    <r>
      <t xml:space="preserve">外壁・界壁等 </t>
    </r>
    <r>
      <rPr>
        <b/>
        <sz val="11"/>
        <rFont val="HG丸ｺﾞｼｯｸM-PRO"/>
        <family val="3"/>
        <charset val="128"/>
      </rPr>
      <t>＜北東面＞</t>
    </r>
    <r>
      <rPr>
        <sz val="11"/>
        <rFont val="HG丸ｺﾞｼｯｸM-PRO"/>
        <family val="3"/>
        <charset val="128"/>
      </rPr>
      <t xml:space="preserve"> 各値合計</t>
    </r>
    <rPh sb="0" eb="2">
      <t>ガイヘキ</t>
    </rPh>
    <rPh sb="3" eb="4">
      <t>カイ</t>
    </rPh>
    <rPh sb="4" eb="5">
      <t>ヘキ</t>
    </rPh>
    <rPh sb="5" eb="6">
      <t>ナド</t>
    </rPh>
    <rPh sb="8" eb="9">
      <t>キタ</t>
    </rPh>
    <rPh sb="9" eb="10">
      <t>ヒガシ</t>
    </rPh>
    <phoneticPr fontId="4"/>
  </si>
  <si>
    <t>北東面</t>
    <rPh sb="0" eb="1">
      <t>キタ</t>
    </rPh>
    <rPh sb="1" eb="2">
      <t>ヒガシ</t>
    </rPh>
    <rPh sb="2" eb="3">
      <t>メン</t>
    </rPh>
    <phoneticPr fontId="4"/>
  </si>
  <si>
    <r>
      <t>内訳計算シートＡ　　</t>
    </r>
    <r>
      <rPr>
        <b/>
        <sz val="14"/>
        <rFont val="HG丸ｺﾞｼｯｸM-PRO"/>
        <family val="3"/>
        <charset val="128"/>
      </rPr>
      <t>＜東面＞</t>
    </r>
    <r>
      <rPr>
        <b/>
        <sz val="12"/>
        <rFont val="HG丸ｺﾞｼｯｸM-PRO"/>
        <family val="3"/>
        <charset val="128"/>
      </rPr>
      <t xml:space="preserve"> </t>
    </r>
    <r>
      <rPr>
        <sz val="12"/>
        <rFont val="HG丸ｺﾞｼｯｸM-PRO"/>
        <family val="3"/>
        <charset val="128"/>
      </rPr>
      <t>の外皮熱損失量と日射熱取得量</t>
    </r>
    <rPh sb="0" eb="2">
      <t>ウチワケ</t>
    </rPh>
    <rPh sb="2" eb="4">
      <t>ケイサン</t>
    </rPh>
    <rPh sb="11" eb="12">
      <t>ヒガシ</t>
    </rPh>
    <rPh sb="12" eb="13">
      <t>メン</t>
    </rPh>
    <rPh sb="23" eb="25">
      <t>ニッシャ</t>
    </rPh>
    <rPh sb="25" eb="26">
      <t>ネツ</t>
    </rPh>
    <rPh sb="26" eb="28">
      <t>シュトク</t>
    </rPh>
    <rPh sb="28" eb="29">
      <t>リョウ</t>
    </rPh>
    <phoneticPr fontId="4"/>
  </si>
  <si>
    <r>
      <t xml:space="preserve">窓 </t>
    </r>
    <r>
      <rPr>
        <b/>
        <sz val="11"/>
        <rFont val="HG丸ｺﾞｼｯｸM-PRO"/>
        <family val="3"/>
        <charset val="128"/>
      </rPr>
      <t>＜東面＞</t>
    </r>
    <r>
      <rPr>
        <sz val="11"/>
        <rFont val="HG丸ｺﾞｼｯｸM-PRO"/>
        <family val="3"/>
        <charset val="128"/>
      </rPr>
      <t xml:space="preserve"> 各値合計</t>
    </r>
    <rPh sb="0" eb="1">
      <t>マド</t>
    </rPh>
    <rPh sb="3" eb="4">
      <t>ヒガシ</t>
    </rPh>
    <rPh sb="4" eb="5">
      <t>メン</t>
    </rPh>
    <rPh sb="7" eb="8">
      <t>カク</t>
    </rPh>
    <rPh sb="8" eb="9">
      <t>アタイ</t>
    </rPh>
    <rPh sb="9" eb="11">
      <t>ゴウケイ</t>
    </rPh>
    <phoneticPr fontId="4"/>
  </si>
  <si>
    <r>
      <t xml:space="preserve">　ドア </t>
    </r>
    <r>
      <rPr>
        <b/>
        <sz val="11"/>
        <rFont val="HG丸ｺﾞｼｯｸM-PRO"/>
        <family val="3"/>
        <charset val="128"/>
      </rPr>
      <t>＜東面＞</t>
    </r>
    <r>
      <rPr>
        <sz val="11"/>
        <rFont val="HG丸ｺﾞｼｯｸM-PRO"/>
        <family val="3"/>
        <charset val="128"/>
      </rPr>
      <t xml:space="preserve"> 各値合計</t>
    </r>
    <rPh sb="5" eb="6">
      <t>ヒガシ</t>
    </rPh>
    <phoneticPr fontId="4"/>
  </si>
  <si>
    <r>
      <t xml:space="preserve">外壁・界壁等 </t>
    </r>
    <r>
      <rPr>
        <b/>
        <sz val="11"/>
        <rFont val="HG丸ｺﾞｼｯｸM-PRO"/>
        <family val="3"/>
        <charset val="128"/>
      </rPr>
      <t>＜東面＞</t>
    </r>
    <r>
      <rPr>
        <sz val="11"/>
        <rFont val="HG丸ｺﾞｼｯｸM-PRO"/>
        <family val="3"/>
        <charset val="128"/>
      </rPr>
      <t xml:space="preserve"> 各値合計</t>
    </r>
    <rPh sb="0" eb="2">
      <t>ガイヘキ</t>
    </rPh>
    <rPh sb="3" eb="4">
      <t>カイ</t>
    </rPh>
    <rPh sb="4" eb="5">
      <t>ヘキ</t>
    </rPh>
    <rPh sb="5" eb="6">
      <t>ナド</t>
    </rPh>
    <rPh sb="8" eb="9">
      <t>ヒガシ</t>
    </rPh>
    <phoneticPr fontId="4"/>
  </si>
  <si>
    <t>東面</t>
    <rPh sb="0" eb="1">
      <t>ヒガシ</t>
    </rPh>
    <rPh sb="1" eb="2">
      <t>メン</t>
    </rPh>
    <phoneticPr fontId="4"/>
  </si>
  <si>
    <t xml:space="preserve">住宅の外皮平均熱貫流率及び平均日射熱取得率（冷房期・暖房期）計算書 </t>
    <rPh sb="0" eb="2">
      <t>ジュウタク</t>
    </rPh>
    <rPh sb="5" eb="7">
      <t>ヘイキン</t>
    </rPh>
    <rPh sb="8" eb="10">
      <t>カンリュウ</t>
    </rPh>
    <rPh sb="10" eb="11">
      <t>リツ</t>
    </rPh>
    <rPh sb="11" eb="12">
      <t>オヨ</t>
    </rPh>
    <rPh sb="13" eb="15">
      <t>ヘイキン</t>
    </rPh>
    <rPh sb="15" eb="17">
      <t>ニッシャ</t>
    </rPh>
    <rPh sb="17" eb="18">
      <t>ネツ</t>
    </rPh>
    <rPh sb="18" eb="20">
      <t>シュトク</t>
    </rPh>
    <rPh sb="20" eb="21">
      <t>リツ</t>
    </rPh>
    <rPh sb="22" eb="24">
      <t>レイボウ</t>
    </rPh>
    <rPh sb="24" eb="25">
      <t>キ</t>
    </rPh>
    <rPh sb="26" eb="28">
      <t>ダンボウ</t>
    </rPh>
    <rPh sb="28" eb="29">
      <t>キ</t>
    </rPh>
    <rPh sb="30" eb="33">
      <t>ケイサンショ</t>
    </rPh>
    <phoneticPr fontId="4"/>
  </si>
  <si>
    <t>‐H28年省エネルギー基準に基づく（鉄筋コンクリート造等共同住宅）‐</t>
    <phoneticPr fontId="4"/>
  </si>
  <si>
    <r>
      <t>　冷房期の平均日射熱取得率(η</t>
    </r>
    <r>
      <rPr>
        <vertAlign val="subscript"/>
        <sz val="9"/>
        <rFont val="ＭＳ Ｐゴシック"/>
        <family val="3"/>
        <charset val="128"/>
      </rPr>
      <t>AC</t>
    </r>
    <r>
      <rPr>
        <sz val="9"/>
        <rFont val="ＭＳ Ｐゴシック"/>
        <family val="3"/>
        <charset val="128"/>
      </rPr>
      <t>)</t>
    </r>
    <rPh sb="1" eb="3">
      <t>レイボウ</t>
    </rPh>
    <rPh sb="3" eb="4">
      <t>キ</t>
    </rPh>
    <rPh sb="5" eb="7">
      <t>ヘイキン</t>
    </rPh>
    <rPh sb="7" eb="9">
      <t>ニッシャ</t>
    </rPh>
    <rPh sb="9" eb="10">
      <t>ネツ</t>
    </rPh>
    <rPh sb="10" eb="12">
      <t>シュトク</t>
    </rPh>
    <rPh sb="12" eb="13">
      <t>リツ</t>
    </rPh>
    <phoneticPr fontId="4"/>
  </si>
  <si>
    <r>
      <t>　暖房期の平均日射熱取得率(η</t>
    </r>
    <r>
      <rPr>
        <vertAlign val="subscript"/>
        <sz val="9"/>
        <rFont val="ＭＳ Ｐゴシック"/>
        <family val="3"/>
        <charset val="128"/>
      </rPr>
      <t>AH</t>
    </r>
    <r>
      <rPr>
        <sz val="9"/>
        <rFont val="ＭＳ Ｐゴシック"/>
        <family val="3"/>
        <charset val="128"/>
      </rPr>
      <t>)</t>
    </r>
    <rPh sb="1" eb="3">
      <t>ダンボウ</t>
    </rPh>
    <phoneticPr fontId="4"/>
  </si>
  <si>
    <r>
      <t>　外皮平均熱貫流率（U</t>
    </r>
    <r>
      <rPr>
        <vertAlign val="subscript"/>
        <sz val="10"/>
        <rFont val="ＭＳ Ｐゴシック"/>
        <family val="3"/>
        <charset val="128"/>
      </rPr>
      <t>A</t>
    </r>
    <r>
      <rPr>
        <sz val="10"/>
        <rFont val="ＭＳ Ｐゴシック"/>
        <family val="3"/>
        <charset val="128"/>
      </rPr>
      <t>）</t>
    </r>
    <rPh sb="3" eb="5">
      <t>ヘイキン</t>
    </rPh>
    <rPh sb="5" eb="6">
      <t>ネツ</t>
    </rPh>
    <rPh sb="6" eb="8">
      <t>カンリュウ</t>
    </rPh>
    <rPh sb="8" eb="9">
      <t>リツ</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</si>
  <si>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</si>
  <si>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</si>
  <si>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</si>
  <si>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</si>
  <si>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</si>
  <si>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</si>
  <si>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</si>
  <si>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</si>
  <si>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　※1　建具の仕様、ガラスの仕様および付属部材の組み合わせに応じた日射熱取得率を直接入力して下さい。</t>
    <phoneticPr fontId="4"/>
  </si>
  <si>
    <t>日射熱
取得率
※1</t>
    <phoneticPr fontId="4"/>
  </si>
  <si>
    <t>日射熱
取得率
※1</t>
    <rPh sb="0" eb="2">
      <t>ニッシャ</t>
    </rPh>
    <rPh sb="2" eb="3">
      <t>ネツ</t>
    </rPh>
    <rPh sb="4" eb="6">
      <t>シュトク</t>
    </rPh>
    <phoneticPr fontId="4"/>
  </si>
  <si>
    <t>共有する
住戸数</t>
    <rPh sb="0" eb="2">
      <t>キョウユウ</t>
    </rPh>
    <rPh sb="5" eb="6">
      <t>ジュウ</t>
    </rPh>
    <rPh sb="6" eb="8">
      <t>コスウ</t>
    </rPh>
    <phoneticPr fontId="4"/>
  </si>
  <si>
    <t>日射熱取得の加算</t>
    <rPh sb="0" eb="2">
      <t>ニッシャ</t>
    </rPh>
    <rPh sb="2" eb="3">
      <t>ネツ</t>
    </rPh>
    <rPh sb="3" eb="5">
      <t>シュトク</t>
    </rPh>
    <rPh sb="6" eb="8">
      <t>カサン</t>
    </rPh>
    <phoneticPr fontId="4"/>
  </si>
  <si>
    <t>加算しない</t>
    <rPh sb="0" eb="2">
      <t>カサン</t>
    </rPh>
    <phoneticPr fontId="4"/>
  </si>
  <si>
    <t>熱損失の加算</t>
    <rPh sb="0" eb="1">
      <t>ネツ</t>
    </rPh>
    <rPh sb="1" eb="3">
      <t>ソンシツ</t>
    </rPh>
    <rPh sb="4" eb="6">
      <t>カサン</t>
    </rPh>
    <phoneticPr fontId="4"/>
  </si>
  <si>
    <t>加算する</t>
    <rPh sb="0" eb="2">
      <t>カサン</t>
    </rPh>
    <phoneticPr fontId="4"/>
  </si>
  <si>
    <t>5-1 断熱等性能等級　ＲＣ造等の共同住宅における熱橋の考え方</t>
    <rPh sb="4" eb="6">
      <t>ダンネツ</t>
    </rPh>
    <rPh sb="6" eb="7">
      <t>トウ</t>
    </rPh>
    <rPh sb="7" eb="9">
      <t>セイノウ</t>
    </rPh>
    <rPh sb="9" eb="11">
      <t>トウキュウ</t>
    </rPh>
    <rPh sb="14" eb="15">
      <t>ゾウ</t>
    </rPh>
    <rPh sb="15" eb="16">
      <t>トウ</t>
    </rPh>
    <rPh sb="17" eb="19">
      <t>キョウドウ</t>
    </rPh>
    <rPh sb="19" eb="21">
      <t>ジュウタク</t>
    </rPh>
    <rPh sb="25" eb="26">
      <t>ネツ</t>
    </rPh>
    <rPh sb="26" eb="27">
      <t>キョウ</t>
    </rPh>
    <rPh sb="28" eb="29">
      <t>カンガ</t>
    </rPh>
    <rPh sb="30" eb="31">
      <t>カタ</t>
    </rPh>
    <phoneticPr fontId="4"/>
  </si>
  <si>
    <t>【熱橋算入ルール】</t>
    <rPh sb="1" eb="2">
      <t>ネツ</t>
    </rPh>
    <rPh sb="2" eb="3">
      <t>キョウ</t>
    </rPh>
    <rPh sb="3" eb="5">
      <t>サンニュウ</t>
    </rPh>
    <phoneticPr fontId="4"/>
  </si>
  <si>
    <t>　■STEP１：熱橋部位の確認</t>
    <rPh sb="8" eb="10">
      <t>ネッキョウ</t>
    </rPh>
    <rPh sb="10" eb="12">
      <t>ブイ</t>
    </rPh>
    <rPh sb="13" eb="15">
      <t>カクニン</t>
    </rPh>
    <phoneticPr fontId="4"/>
  </si>
  <si>
    <r>
      <t>　　　・隣接する各住戸等</t>
    </r>
    <r>
      <rPr>
        <vertAlign val="superscript"/>
        <sz val="9"/>
        <color rgb="FFFF0000"/>
        <rFont val="ＭＳ Ｐゴシック"/>
        <family val="3"/>
        <charset val="128"/>
        <scheme val="minor"/>
      </rPr>
      <t>※１</t>
    </r>
    <r>
      <rPr>
        <sz val="9"/>
        <color rgb="FFFF0000"/>
        <rFont val="ＭＳ Ｐゴシック"/>
        <family val="3"/>
        <charset val="128"/>
        <scheme val="minor"/>
      </rPr>
      <t>が共有する熱橋部位の熱損失は各住戸等</t>
    </r>
    <r>
      <rPr>
        <vertAlign val="superscript"/>
        <sz val="9"/>
        <color rgb="FFFF0000"/>
        <rFont val="ＭＳ Ｐゴシック"/>
        <family val="3"/>
        <charset val="128"/>
        <scheme val="minor"/>
      </rPr>
      <t>※１</t>
    </r>
    <r>
      <rPr>
        <sz val="9"/>
        <color rgb="FFFF0000"/>
        <rFont val="ＭＳ Ｐゴシック"/>
        <family val="3"/>
        <charset val="128"/>
        <scheme val="minor"/>
      </rPr>
      <t>で按分する。</t>
    </r>
    <rPh sb="4" eb="6">
      <t>リンセツ</t>
    </rPh>
    <rPh sb="8" eb="9">
      <t>カク</t>
    </rPh>
    <rPh sb="9" eb="11">
      <t>ジュウコ</t>
    </rPh>
    <rPh sb="11" eb="12">
      <t>トウ</t>
    </rPh>
    <rPh sb="15" eb="17">
      <t>キョウユウ</t>
    </rPh>
    <rPh sb="19" eb="20">
      <t>ネツ</t>
    </rPh>
    <rPh sb="20" eb="21">
      <t>キョウ</t>
    </rPh>
    <rPh sb="21" eb="22">
      <t>ブ</t>
    </rPh>
    <rPh sb="22" eb="23">
      <t>イ</t>
    </rPh>
    <rPh sb="24" eb="25">
      <t>ネツ</t>
    </rPh>
    <rPh sb="25" eb="27">
      <t>ソンシツ</t>
    </rPh>
    <rPh sb="31" eb="32">
      <t>ナド</t>
    </rPh>
    <rPh sb="35" eb="37">
      <t>アンブン</t>
    </rPh>
    <phoneticPr fontId="4"/>
  </si>
  <si>
    <t>　■STEP２：温度差係数の設定</t>
    <rPh sb="8" eb="11">
      <t>オンドサ</t>
    </rPh>
    <rPh sb="11" eb="13">
      <t>ケイスウ</t>
    </rPh>
    <rPh sb="14" eb="16">
      <t>セッテイ</t>
    </rPh>
    <phoneticPr fontId="4"/>
  </si>
  <si>
    <r>
      <t>　　　・複数の隣接空間</t>
    </r>
    <r>
      <rPr>
        <vertAlign val="superscript"/>
        <sz val="9"/>
        <color rgb="FFFF0000"/>
        <rFont val="ＭＳ Ｐゴシック"/>
        <family val="3"/>
        <charset val="128"/>
        <scheme val="minor"/>
      </rPr>
      <t>※２</t>
    </r>
    <r>
      <rPr>
        <sz val="9"/>
        <color rgb="FFFF0000"/>
        <rFont val="ＭＳ Ｐゴシック"/>
        <family val="3"/>
        <charset val="128"/>
        <scheme val="minor"/>
      </rPr>
      <t>に属する熱橋部位の温度差係数は、最も温度差係数が大きい隣接空間</t>
    </r>
    <r>
      <rPr>
        <vertAlign val="superscript"/>
        <sz val="9"/>
        <color rgb="FFFF0000"/>
        <rFont val="ＭＳ Ｐゴシック"/>
        <family val="3"/>
        <charset val="128"/>
        <scheme val="minor"/>
      </rPr>
      <t>※２</t>
    </r>
    <r>
      <rPr>
        <sz val="9"/>
        <color rgb="FFFF0000"/>
        <rFont val="ＭＳ Ｐゴシック"/>
        <family val="3"/>
        <charset val="128"/>
        <scheme val="minor"/>
      </rPr>
      <t>の値を用いる（右図参照）。</t>
    </r>
    <rPh sb="4" eb="6">
      <t>フクスウ</t>
    </rPh>
    <rPh sb="17" eb="19">
      <t>ネッキョウ</t>
    </rPh>
    <rPh sb="19" eb="20">
      <t>ブ</t>
    </rPh>
    <rPh sb="20" eb="21">
      <t>イ</t>
    </rPh>
    <rPh sb="22" eb="24">
      <t>オンド</t>
    </rPh>
    <rPh sb="24" eb="25">
      <t>サ</t>
    </rPh>
    <rPh sb="25" eb="27">
      <t>ケイスウ</t>
    </rPh>
    <rPh sb="29" eb="30">
      <t>モット</t>
    </rPh>
    <rPh sb="31" eb="34">
      <t>オンドサ</t>
    </rPh>
    <rPh sb="34" eb="36">
      <t>ケイスウ</t>
    </rPh>
    <rPh sb="37" eb="38">
      <t>オオ</t>
    </rPh>
    <rPh sb="40" eb="42">
      <t>リンセツ</t>
    </rPh>
    <rPh sb="42" eb="44">
      <t>クウカン</t>
    </rPh>
    <rPh sb="47" eb="48">
      <t>アタイ</t>
    </rPh>
    <rPh sb="49" eb="50">
      <t>モチ</t>
    </rPh>
    <rPh sb="53" eb="54">
      <t>ミギ</t>
    </rPh>
    <rPh sb="54" eb="55">
      <t>ズ</t>
    </rPh>
    <rPh sb="55" eb="57">
      <t>サンショウ</t>
    </rPh>
    <phoneticPr fontId="4"/>
  </si>
  <si>
    <t>　■STEP３：方位係数の設定</t>
    <rPh sb="8" eb="10">
      <t>ホウイ</t>
    </rPh>
    <rPh sb="10" eb="12">
      <t>ケイスウ</t>
    </rPh>
    <rPh sb="13" eb="15">
      <t>セッテイ</t>
    </rPh>
    <phoneticPr fontId="4"/>
  </si>
  <si>
    <r>
      <t>　　　①　最下階等、評価対象住戸の下階に住戸等</t>
    </r>
    <r>
      <rPr>
        <vertAlign val="superscript"/>
        <sz val="9"/>
        <color rgb="FFFF0000"/>
        <rFont val="ＭＳ Ｐゴシック"/>
        <family val="3"/>
        <charset val="128"/>
        <scheme val="minor"/>
      </rPr>
      <t>※１</t>
    </r>
    <r>
      <rPr>
        <sz val="9"/>
        <color rgb="FFFF0000"/>
        <rFont val="ＭＳ Ｐゴシック"/>
        <family val="3"/>
        <charset val="128"/>
        <scheme val="minor"/>
      </rPr>
      <t>がない場合、または、隣接する住戸等</t>
    </r>
    <r>
      <rPr>
        <vertAlign val="superscript"/>
        <sz val="9"/>
        <color rgb="FFFF0000"/>
        <rFont val="ＭＳ Ｐゴシック"/>
        <family val="3"/>
        <charset val="128"/>
        <scheme val="minor"/>
      </rPr>
      <t>※１</t>
    </r>
    <r>
      <rPr>
        <sz val="9"/>
        <color rgb="FFFF0000"/>
        <rFont val="ＭＳ Ｐゴシック"/>
        <family val="3"/>
        <charset val="128"/>
        <scheme val="minor"/>
      </rPr>
      <t>の下階に住戸等</t>
    </r>
    <r>
      <rPr>
        <vertAlign val="superscript"/>
        <sz val="9"/>
        <color rgb="FFFF0000"/>
        <rFont val="ＭＳ Ｐゴシック"/>
        <family val="3"/>
        <charset val="128"/>
        <scheme val="minor"/>
      </rPr>
      <t>※１</t>
    </r>
    <r>
      <rPr>
        <sz val="9"/>
        <color rgb="FFFF0000"/>
        <rFont val="ＭＳ Ｐゴシック"/>
        <family val="3"/>
        <charset val="128"/>
        <scheme val="minor"/>
      </rPr>
      <t>がない場合の床面に接する熱橋部位は下面の方位係数を用いる。</t>
    </r>
    <rPh sb="10" eb="12">
      <t>ヒョウカ</t>
    </rPh>
    <rPh sb="12" eb="14">
      <t>タイショウ</t>
    </rPh>
    <rPh sb="14" eb="16">
      <t>ジュウコ</t>
    </rPh>
    <rPh sb="22" eb="23">
      <t>トウ</t>
    </rPh>
    <rPh sb="62" eb="63">
      <t>セッ</t>
    </rPh>
    <rPh sb="65" eb="67">
      <t>ネッキョウ</t>
    </rPh>
    <rPh sb="67" eb="68">
      <t>ブ</t>
    </rPh>
    <rPh sb="68" eb="69">
      <t>イ</t>
    </rPh>
    <rPh sb="73" eb="75">
      <t>ホウイ</t>
    </rPh>
    <rPh sb="75" eb="77">
      <t>ケイスウ</t>
    </rPh>
    <rPh sb="78" eb="79">
      <t>モチ</t>
    </rPh>
    <phoneticPr fontId="4"/>
  </si>
  <si>
    <r>
      <t>　　　②　最上階等、評価対象住戸の上階に住戸等</t>
    </r>
    <r>
      <rPr>
        <vertAlign val="superscript"/>
        <sz val="9"/>
        <color rgb="FFFF0000"/>
        <rFont val="ＭＳ Ｐゴシック"/>
        <family val="3"/>
        <charset val="128"/>
        <scheme val="minor"/>
      </rPr>
      <t>※１</t>
    </r>
    <r>
      <rPr>
        <sz val="9"/>
        <color rgb="FFFF0000"/>
        <rFont val="ＭＳ Ｐゴシック"/>
        <family val="3"/>
        <charset val="128"/>
        <scheme val="minor"/>
      </rPr>
      <t>がない場合、または、隣接する住戸等</t>
    </r>
    <r>
      <rPr>
        <vertAlign val="superscript"/>
        <sz val="9"/>
        <color rgb="FFFF0000"/>
        <rFont val="ＭＳ Ｐゴシック"/>
        <family val="3"/>
        <charset val="128"/>
        <scheme val="minor"/>
      </rPr>
      <t>※１</t>
    </r>
    <r>
      <rPr>
        <sz val="9"/>
        <color rgb="FFFF0000"/>
        <rFont val="ＭＳ Ｐゴシック"/>
        <family val="3"/>
        <charset val="128"/>
        <scheme val="minor"/>
      </rPr>
      <t>の上階に住戸等</t>
    </r>
    <r>
      <rPr>
        <vertAlign val="superscript"/>
        <sz val="9"/>
        <color rgb="FFFF0000"/>
        <rFont val="ＭＳ Ｐゴシック"/>
        <family val="3"/>
        <charset val="128"/>
        <scheme val="minor"/>
      </rPr>
      <t>※１</t>
    </r>
    <r>
      <rPr>
        <sz val="9"/>
        <color rgb="FFFF0000"/>
        <rFont val="ＭＳ Ｐゴシック"/>
        <family val="3"/>
        <charset val="128"/>
        <scheme val="minor"/>
      </rPr>
      <t>がない場合の屋根に接する熱橋部位は上面の方位係数を用いる。</t>
    </r>
    <rPh sb="8" eb="9">
      <t>ナド</t>
    </rPh>
    <rPh sb="10" eb="12">
      <t>ヒョウカ</t>
    </rPh>
    <rPh sb="12" eb="14">
      <t>タイショウ</t>
    </rPh>
    <rPh sb="14" eb="16">
      <t>ジュウコ</t>
    </rPh>
    <rPh sb="17" eb="19">
      <t>ジョウカイ</t>
    </rPh>
    <rPh sb="28" eb="30">
      <t>バアイ</t>
    </rPh>
    <rPh sb="45" eb="47">
      <t>ジョウカイ</t>
    </rPh>
    <rPh sb="62" eb="63">
      <t>セッ</t>
    </rPh>
    <rPh sb="65" eb="67">
      <t>ネッキョウ</t>
    </rPh>
    <rPh sb="67" eb="68">
      <t>ブ</t>
    </rPh>
    <rPh sb="68" eb="69">
      <t>イ</t>
    </rPh>
    <rPh sb="73" eb="75">
      <t>ホウイ</t>
    </rPh>
    <rPh sb="75" eb="77">
      <t>ケイスウ</t>
    </rPh>
    <rPh sb="78" eb="79">
      <t>モチ</t>
    </rPh>
    <phoneticPr fontId="4"/>
  </si>
  <si>
    <t>　　　③　①・②に該当しない場合は横面（８方位）の方位係数を用いる。</t>
    <rPh sb="9" eb="11">
      <t>ガイトウ</t>
    </rPh>
    <rPh sb="14" eb="16">
      <t>バアイ</t>
    </rPh>
    <rPh sb="17" eb="18">
      <t>ヨコ</t>
    </rPh>
    <rPh sb="18" eb="19">
      <t>メン</t>
    </rPh>
    <rPh sb="21" eb="23">
      <t>ホウイ</t>
    </rPh>
    <rPh sb="25" eb="27">
      <t>ホウイ</t>
    </rPh>
    <rPh sb="27" eb="29">
      <t>ケイスウ</t>
    </rPh>
    <rPh sb="30" eb="31">
      <t>モチ</t>
    </rPh>
    <phoneticPr fontId="4"/>
  </si>
  <si>
    <r>
      <t>　　　④　温度差係数1.0未満の熱橋部位または方位が下面とみなされる部位は方位係数を「0」とし、η</t>
    </r>
    <r>
      <rPr>
        <vertAlign val="subscript"/>
        <sz val="9"/>
        <color rgb="FFFF0000"/>
        <rFont val="ＭＳ Ｐゴシック"/>
        <family val="3"/>
        <charset val="128"/>
        <scheme val="minor"/>
      </rPr>
      <t>AC</t>
    </r>
    <r>
      <rPr>
        <sz val="9"/>
        <color rgb="FFFF0000"/>
        <rFont val="ＭＳ Ｐゴシック"/>
        <family val="3"/>
        <charset val="128"/>
        <scheme val="minor"/>
      </rPr>
      <t>、η</t>
    </r>
    <r>
      <rPr>
        <vertAlign val="subscript"/>
        <sz val="9"/>
        <color rgb="FFFF0000"/>
        <rFont val="ＭＳ Ｐゴシック"/>
        <family val="3"/>
        <charset val="128"/>
        <scheme val="minor"/>
      </rPr>
      <t>AH</t>
    </r>
    <r>
      <rPr>
        <sz val="9"/>
        <color rgb="FFFF0000"/>
        <rFont val="ＭＳ Ｐゴシック"/>
        <family val="3"/>
        <charset val="128"/>
        <scheme val="minor"/>
      </rPr>
      <t>は算入対象外とする。</t>
    </r>
    <rPh sb="5" eb="8">
      <t>オンドサ</t>
    </rPh>
    <rPh sb="8" eb="10">
      <t>ケイスウ</t>
    </rPh>
    <rPh sb="13" eb="15">
      <t>ミマン</t>
    </rPh>
    <rPh sb="23" eb="25">
      <t>ホウイ</t>
    </rPh>
    <rPh sb="37" eb="39">
      <t>ホウイ</t>
    </rPh>
    <rPh sb="39" eb="41">
      <t>ケイスウ</t>
    </rPh>
    <rPh sb="56" eb="58">
      <t>サンニュウ</t>
    </rPh>
    <rPh sb="58" eb="60">
      <t>タイショウ</t>
    </rPh>
    <rPh sb="60" eb="61">
      <t>ガイ</t>
    </rPh>
    <phoneticPr fontId="4"/>
  </si>
  <si>
    <t>　　　※１　空調室（空調された共用部等）を含む。</t>
    <rPh sb="6" eb="8">
      <t>クウチョウ</t>
    </rPh>
    <rPh sb="8" eb="9">
      <t>シツ</t>
    </rPh>
    <rPh sb="10" eb="12">
      <t>クウチョウ</t>
    </rPh>
    <rPh sb="15" eb="17">
      <t>キョウヨウ</t>
    </rPh>
    <rPh sb="17" eb="18">
      <t>ブ</t>
    </rPh>
    <rPh sb="18" eb="19">
      <t>トウ</t>
    </rPh>
    <rPh sb="21" eb="22">
      <t>フク</t>
    </rPh>
    <phoneticPr fontId="4"/>
  </si>
  <si>
    <t>　　　※２　評価対象住戸に隣接する外気等の空間。</t>
    <rPh sb="6" eb="8">
      <t>ヒョウカ</t>
    </rPh>
    <rPh sb="8" eb="10">
      <t>タイショウ</t>
    </rPh>
    <rPh sb="10" eb="12">
      <t>ジュウコ</t>
    </rPh>
    <rPh sb="13" eb="15">
      <t>リンセツ</t>
    </rPh>
    <rPh sb="17" eb="19">
      <t>ガイキ</t>
    </rPh>
    <rPh sb="19" eb="20">
      <t>トウ</t>
    </rPh>
    <rPh sb="21" eb="23">
      <t>クウカン</t>
    </rPh>
    <phoneticPr fontId="4"/>
  </si>
  <si>
    <t>熱橋部位</t>
    <rPh sb="0" eb="1">
      <t>ネツ</t>
    </rPh>
    <rPh sb="1" eb="2">
      <t>キョウ</t>
    </rPh>
    <rPh sb="2" eb="4">
      <t>ブイ</t>
    </rPh>
    <phoneticPr fontId="4"/>
  </si>
  <si>
    <t>熱橋種類</t>
    <rPh sb="0" eb="1">
      <t>ネツ</t>
    </rPh>
    <rPh sb="1" eb="2">
      <t>キョウ</t>
    </rPh>
    <rPh sb="2" eb="4">
      <t>シュルイ</t>
    </rPh>
    <phoneticPr fontId="4"/>
  </si>
  <si>
    <r>
      <t>η</t>
    </r>
    <r>
      <rPr>
        <vertAlign val="subscript"/>
        <sz val="10"/>
        <color indexed="8"/>
        <rFont val="ＭＳ Ｐゴシック"/>
        <family val="3"/>
        <charset val="128"/>
      </rPr>
      <t>ＡC、</t>
    </r>
    <r>
      <rPr>
        <sz val="10"/>
        <color indexed="8"/>
        <rFont val="ＭＳ Ｐゴシック"/>
        <family val="3"/>
        <charset val="128"/>
      </rPr>
      <t>η</t>
    </r>
    <r>
      <rPr>
        <vertAlign val="subscript"/>
        <sz val="10"/>
        <color indexed="8"/>
        <rFont val="ＭＳ Ｐゴシック"/>
        <family val="3"/>
        <charset val="128"/>
      </rPr>
      <t>ＡH</t>
    </r>
    <r>
      <rPr>
        <sz val="10"/>
        <color indexed="8"/>
        <rFont val="ＭＳ Ｐゴシック"/>
        <family val="3"/>
        <charset val="128"/>
      </rPr>
      <t>値</t>
    </r>
    <rPh sb="7" eb="8">
      <t>チ</t>
    </rPh>
    <phoneticPr fontId="4"/>
  </si>
  <si>
    <t>（温度差係数）</t>
    <rPh sb="1" eb="4">
      <t>オンドサ</t>
    </rPh>
    <rPh sb="4" eb="6">
      <t>ケイスウ</t>
    </rPh>
    <phoneticPr fontId="4"/>
  </si>
  <si>
    <t>への加算</t>
    <rPh sb="2" eb="4">
      <t>カサン</t>
    </rPh>
    <phoneticPr fontId="4"/>
  </si>
  <si>
    <t>上面</t>
    <rPh sb="0" eb="2">
      <t>ジョウメン</t>
    </rPh>
    <phoneticPr fontId="4"/>
  </si>
  <si>
    <t>必要</t>
    <phoneticPr fontId="4"/>
  </si>
  <si>
    <t>Hｉ=1.0</t>
    <phoneticPr fontId="4"/>
  </si>
  <si>
    <t>不要</t>
    <rPh sb="0" eb="1">
      <t>フ</t>
    </rPh>
    <phoneticPr fontId="4"/>
  </si>
  <si>
    <t>Hｉ=0.7</t>
    <phoneticPr fontId="4"/>
  </si>
  <si>
    <t>横面（8方位）</t>
    <rPh sb="0" eb="1">
      <t>ヨコ</t>
    </rPh>
    <rPh sb="1" eb="2">
      <t>メン</t>
    </rPh>
    <rPh sb="4" eb="6">
      <t>ホウイ</t>
    </rPh>
    <phoneticPr fontId="4"/>
  </si>
  <si>
    <t>不要</t>
    <rPh sb="0" eb="2">
      <t>フヨウ</t>
    </rPh>
    <phoneticPr fontId="4"/>
  </si>
  <si>
    <t>Hｉ=0.7</t>
    <phoneticPr fontId="4"/>
  </si>
  <si>
    <t>下面（外気）</t>
    <rPh sb="0" eb="1">
      <t>シタ</t>
    </rPh>
    <rPh sb="1" eb="2">
      <t>メン</t>
    </rPh>
    <rPh sb="3" eb="5">
      <t>ガイキ</t>
    </rPh>
    <phoneticPr fontId="4"/>
  </si>
  <si>
    <t>Hｉ=1.0</t>
    <phoneticPr fontId="4"/>
  </si>
  <si>
    <t>下面（その他）</t>
    <rPh sb="0" eb="2">
      <t>シタメン</t>
    </rPh>
    <rPh sb="5" eb="6">
      <t>タ</t>
    </rPh>
    <phoneticPr fontId="4"/>
  </si>
  <si>
    <t>下面（ピット・空調室）</t>
    <rPh sb="0" eb="2">
      <t>シタメン</t>
    </rPh>
    <rPh sb="7" eb="9">
      <t>クウチョウ</t>
    </rPh>
    <rPh sb="9" eb="10">
      <t>シツ</t>
    </rPh>
    <phoneticPr fontId="4"/>
  </si>
  <si>
    <t>Hｉ=0.05（1～3地域）</t>
    <rPh sb="11" eb="13">
      <t>チイキ</t>
    </rPh>
    <phoneticPr fontId="4"/>
  </si>
  <si>
    <t>Hｉ=0.15（4～9地域）</t>
    <rPh sb="11" eb="13">
      <t>チイキ</t>
    </rPh>
    <phoneticPr fontId="4"/>
  </si>
  <si>
    <t>㎡（</t>
    <phoneticPr fontId="4"/>
  </si>
  <si>
    <t>㎡、</t>
    <phoneticPr fontId="4"/>
  </si>
  <si>
    <t>㎡）</t>
    <phoneticPr fontId="4"/>
  </si>
  <si>
    <t>W/K</t>
    <phoneticPr fontId="4"/>
  </si>
  <si>
    <t>　注７：本計算シートでは計算式の誤削除を防止するため、シートを保護しています。</t>
    <rPh sb="1" eb="2">
      <t>チュウ</t>
    </rPh>
    <rPh sb="4" eb="5">
      <t>ホン</t>
    </rPh>
    <rPh sb="5" eb="7">
      <t>ケイサン</t>
    </rPh>
    <rPh sb="12" eb="14">
      <t>ケイサン</t>
    </rPh>
    <rPh sb="14" eb="15">
      <t>シキ</t>
    </rPh>
    <rPh sb="16" eb="17">
      <t>ゴ</t>
    </rPh>
    <rPh sb="17" eb="19">
      <t>サクジョ</t>
    </rPh>
    <rPh sb="20" eb="22">
      <t>ボウシ</t>
    </rPh>
    <rPh sb="31" eb="33">
      <t>ホゴ</t>
    </rPh>
    <phoneticPr fontId="4"/>
  </si>
  <si>
    <t>北</t>
    <rPh sb="0" eb="1">
      <t>キタ</t>
    </rPh>
    <phoneticPr fontId="4"/>
  </si>
  <si>
    <t>北東</t>
    <rPh sb="0" eb="2">
      <t>ホクトウ</t>
    </rPh>
    <phoneticPr fontId="4"/>
  </si>
  <si>
    <t>北西</t>
    <rPh sb="0" eb="2">
      <t>ホクセイ</t>
    </rPh>
    <phoneticPr fontId="4"/>
  </si>
  <si>
    <t>水平</t>
    <rPh sb="0" eb="2">
      <t>スイヘイ</t>
    </rPh>
    <phoneticPr fontId="4"/>
  </si>
  <si>
    <t>壁（上階床）</t>
    <phoneticPr fontId="4"/>
  </si>
  <si>
    <t>壁（上階床）</t>
  </si>
  <si>
    <t>壁（下階床）</t>
    <phoneticPr fontId="4"/>
  </si>
  <si>
    <t>壁（下階床）</t>
  </si>
  <si>
    <t>壁（戸境）</t>
    <phoneticPr fontId="4"/>
  </si>
  <si>
    <t>壁（戸境）</t>
  </si>
  <si>
    <t>壁（間仕切）</t>
    <phoneticPr fontId="4"/>
  </si>
  <si>
    <t>壁（間仕切）</t>
  </si>
  <si>
    <t>壁（その他）</t>
    <phoneticPr fontId="4"/>
  </si>
  <si>
    <t>壁（その他）</t>
  </si>
  <si>
    <t>開口部
番号</t>
    <rPh sb="0" eb="3">
      <t>カイコウブ</t>
    </rPh>
    <rPh sb="4" eb="6">
      <t>バンゴウ</t>
    </rPh>
    <phoneticPr fontId="4"/>
  </si>
  <si>
    <t>4）隣接空間に通ずる開口部の入力</t>
    <rPh sb="2" eb="4">
      <t>リンセツ</t>
    </rPh>
    <rPh sb="4" eb="6">
      <t>クウカン</t>
    </rPh>
    <rPh sb="7" eb="8">
      <t>ツウ</t>
    </rPh>
    <rPh sb="10" eb="13">
      <t>カイコウブ</t>
    </rPh>
    <phoneticPr fontId="4"/>
  </si>
  <si>
    <t>5）住宅 ＜北面＞ 計算結果</t>
    <phoneticPr fontId="4"/>
  </si>
  <si>
    <t>㎡、その他開口部</t>
    <phoneticPr fontId="4"/>
  </si>
  <si>
    <t>㎡、外壁</t>
    <phoneticPr fontId="4"/>
  </si>
  <si>
    <t>㎡、ドア</t>
    <phoneticPr fontId="4"/>
  </si>
  <si>
    <t>㎡）</t>
    <phoneticPr fontId="4"/>
  </si>
  <si>
    <t>5）住宅 ＜北西面＞ 計算結果</t>
    <rPh sb="7" eb="8">
      <t>ニシ</t>
    </rPh>
    <phoneticPr fontId="4"/>
  </si>
  <si>
    <t>5）住宅 ＜西面＞ 計算結果</t>
    <rPh sb="6" eb="7">
      <t>ニシ</t>
    </rPh>
    <phoneticPr fontId="4"/>
  </si>
  <si>
    <t>5）住宅 ＜南西面＞ 計算結果</t>
    <rPh sb="6" eb="8">
      <t>ナンセイ</t>
    </rPh>
    <phoneticPr fontId="4"/>
  </si>
  <si>
    <t>5）住宅 ＜南面＞ 計算結果</t>
    <rPh sb="6" eb="7">
      <t>ナン</t>
    </rPh>
    <phoneticPr fontId="4"/>
  </si>
  <si>
    <t>5）住宅 ＜南東面＞ 計算結果</t>
    <rPh sb="6" eb="8">
      <t>ナントウ</t>
    </rPh>
    <phoneticPr fontId="4"/>
  </si>
  <si>
    <t>5）住宅 ＜東面＞ 計算結果</t>
    <rPh sb="6" eb="7">
      <t>ヒガシ</t>
    </rPh>
    <phoneticPr fontId="4"/>
  </si>
  <si>
    <t>5）住宅 ＜北東面＞ 計算結果</t>
    <rPh sb="7" eb="8">
      <t>ヒガシ</t>
    </rPh>
    <phoneticPr fontId="4"/>
  </si>
  <si>
    <r>
      <t xml:space="preserve">隣接空間に通ずる開口部 </t>
    </r>
    <r>
      <rPr>
        <b/>
        <sz val="11"/>
        <rFont val="HG丸ｺﾞｼｯｸM-PRO"/>
        <family val="3"/>
        <charset val="128"/>
      </rPr>
      <t>＜北西面＞</t>
    </r>
    <r>
      <rPr>
        <sz val="11"/>
        <rFont val="HG丸ｺﾞｼｯｸM-PRO"/>
        <family val="3"/>
        <charset val="128"/>
      </rPr>
      <t xml:space="preserve"> 各値合計</t>
    </r>
    <rPh sb="0" eb="2">
      <t>リンセツ</t>
    </rPh>
    <rPh sb="2" eb="4">
      <t>クウカン</t>
    </rPh>
    <rPh sb="5" eb="6">
      <t>ツウ</t>
    </rPh>
    <rPh sb="8" eb="11">
      <t>カイコウブ</t>
    </rPh>
    <rPh sb="13" eb="14">
      <t>キタ</t>
    </rPh>
    <rPh sb="14" eb="15">
      <t>ニシ</t>
    </rPh>
    <phoneticPr fontId="4"/>
  </si>
  <si>
    <r>
      <t xml:space="preserve">隣接空間に通ずる開口部 </t>
    </r>
    <r>
      <rPr>
        <b/>
        <sz val="11"/>
        <rFont val="HG丸ｺﾞｼｯｸM-PRO"/>
        <family val="3"/>
        <charset val="128"/>
      </rPr>
      <t>＜北面＞</t>
    </r>
    <r>
      <rPr>
        <sz val="11"/>
        <rFont val="HG丸ｺﾞｼｯｸM-PRO"/>
        <family val="3"/>
        <charset val="128"/>
      </rPr>
      <t xml:space="preserve"> 各値合計</t>
    </r>
    <rPh sb="13" eb="14">
      <t>キタ</t>
    </rPh>
    <phoneticPr fontId="4"/>
  </si>
  <si>
    <r>
      <t xml:space="preserve">隣接空間に通ずる開口部 </t>
    </r>
    <r>
      <rPr>
        <b/>
        <sz val="11"/>
        <rFont val="HG丸ｺﾞｼｯｸM-PRO"/>
        <family val="3"/>
        <charset val="128"/>
      </rPr>
      <t>＜西面＞</t>
    </r>
    <r>
      <rPr>
        <sz val="11"/>
        <rFont val="HG丸ｺﾞｼｯｸM-PRO"/>
        <family val="3"/>
        <charset val="128"/>
      </rPr>
      <t xml:space="preserve"> 各値合計</t>
    </r>
    <rPh sb="13" eb="14">
      <t>ニシ</t>
    </rPh>
    <phoneticPr fontId="4"/>
  </si>
  <si>
    <r>
      <t>隣接空間に通ずる開口部</t>
    </r>
    <r>
      <rPr>
        <b/>
        <sz val="11"/>
        <rFont val="HG丸ｺﾞｼｯｸM-PRO"/>
        <family val="3"/>
        <charset val="128"/>
      </rPr>
      <t>＜南面＞</t>
    </r>
    <r>
      <rPr>
        <sz val="11"/>
        <rFont val="HG丸ｺﾞｼｯｸM-PRO"/>
        <family val="3"/>
        <charset val="128"/>
      </rPr>
      <t xml:space="preserve"> 各値合計</t>
    </r>
    <rPh sb="12" eb="13">
      <t>ミナミ</t>
    </rPh>
    <phoneticPr fontId="4"/>
  </si>
  <si>
    <r>
      <t xml:space="preserve">隣接空間に通ずる開口部 </t>
    </r>
    <r>
      <rPr>
        <b/>
        <sz val="11"/>
        <rFont val="HG丸ｺﾞｼｯｸM-PRO"/>
        <family val="3"/>
        <charset val="128"/>
      </rPr>
      <t>＜南西面＞</t>
    </r>
    <r>
      <rPr>
        <sz val="11"/>
        <rFont val="HG丸ｺﾞｼｯｸM-PRO"/>
        <family val="3"/>
        <charset val="128"/>
      </rPr>
      <t xml:space="preserve"> 各値合計</t>
    </r>
    <rPh sb="13" eb="14">
      <t>ミナミ</t>
    </rPh>
    <rPh sb="14" eb="15">
      <t>ニシ</t>
    </rPh>
    <phoneticPr fontId="4"/>
  </si>
  <si>
    <r>
      <t xml:space="preserve">隣接空間に通ずる開口部 </t>
    </r>
    <r>
      <rPr>
        <b/>
        <sz val="11"/>
        <rFont val="HG丸ｺﾞｼｯｸM-PRO"/>
        <family val="3"/>
        <charset val="128"/>
      </rPr>
      <t>＜南東面＞</t>
    </r>
    <r>
      <rPr>
        <sz val="11"/>
        <rFont val="HG丸ｺﾞｼｯｸM-PRO"/>
        <family val="3"/>
        <charset val="128"/>
      </rPr>
      <t xml:space="preserve"> 各値合計</t>
    </r>
    <rPh sb="13" eb="15">
      <t>ナントウ</t>
    </rPh>
    <phoneticPr fontId="4"/>
  </si>
  <si>
    <r>
      <t xml:space="preserve">隣接空間に通ずる開口部 </t>
    </r>
    <r>
      <rPr>
        <b/>
        <sz val="11"/>
        <rFont val="HG丸ｺﾞｼｯｸM-PRO"/>
        <family val="3"/>
        <charset val="128"/>
      </rPr>
      <t>＜東面＞</t>
    </r>
    <r>
      <rPr>
        <sz val="11"/>
        <rFont val="HG丸ｺﾞｼｯｸM-PRO"/>
        <family val="3"/>
        <charset val="128"/>
      </rPr>
      <t xml:space="preserve"> 各値合計</t>
    </r>
    <rPh sb="13" eb="14">
      <t>ヒガシ</t>
    </rPh>
    <phoneticPr fontId="4"/>
  </si>
  <si>
    <r>
      <t xml:space="preserve">隣接空間に通ずる開口部 </t>
    </r>
    <r>
      <rPr>
        <b/>
        <sz val="11"/>
        <rFont val="HG丸ｺﾞｼｯｸM-PRO"/>
        <family val="3"/>
        <charset val="128"/>
      </rPr>
      <t>＜北東面＞</t>
    </r>
    <r>
      <rPr>
        <sz val="11"/>
        <rFont val="HG丸ｺﾞｼｯｸM-PRO"/>
        <family val="3"/>
        <charset val="128"/>
      </rPr>
      <t xml:space="preserve"> 各値合計</t>
    </r>
    <rPh sb="13" eb="14">
      <t>キタ</t>
    </rPh>
    <rPh sb="14" eb="15">
      <t>ヒガシ</t>
    </rPh>
    <phoneticPr fontId="4"/>
  </si>
  <si>
    <t>【中廊下等、直達光が当たらない場合の日射熱取得の考え方】</t>
    <rPh sb="1" eb="2">
      <t>ナカ</t>
    </rPh>
    <rPh sb="2" eb="4">
      <t>ロウカ</t>
    </rPh>
    <rPh sb="4" eb="5">
      <t>トウ</t>
    </rPh>
    <rPh sb="6" eb="7">
      <t>チョク</t>
    </rPh>
    <rPh sb="7" eb="8">
      <t>タツ</t>
    </rPh>
    <rPh sb="8" eb="9">
      <t>ヒカリ</t>
    </rPh>
    <rPh sb="10" eb="11">
      <t>ア</t>
    </rPh>
    <rPh sb="15" eb="17">
      <t>バアイ</t>
    </rPh>
    <rPh sb="18" eb="20">
      <t>ニッシャ</t>
    </rPh>
    <rPh sb="20" eb="21">
      <t>ネツ</t>
    </rPh>
    <rPh sb="21" eb="23">
      <t>シュトク</t>
    </rPh>
    <rPh sb="24" eb="25">
      <t>カンガ</t>
    </rPh>
    <rPh sb="26" eb="27">
      <t>カタ</t>
    </rPh>
    <phoneticPr fontId="4"/>
  </si>
  <si>
    <t>中廊下の壁、界壁等（以下、中廊下等）における、直達光が当たらない場合の日射熱取得の考え方は次の通りとします。</t>
    <rPh sb="0" eb="1">
      <t>ナカ</t>
    </rPh>
    <rPh sb="1" eb="3">
      <t>ロウカ</t>
    </rPh>
    <rPh sb="4" eb="5">
      <t>カベ</t>
    </rPh>
    <rPh sb="6" eb="7">
      <t>カイ</t>
    </rPh>
    <rPh sb="7" eb="8">
      <t>ヘキ</t>
    </rPh>
    <rPh sb="8" eb="9">
      <t>トウ</t>
    </rPh>
    <rPh sb="10" eb="12">
      <t>イカ</t>
    </rPh>
    <rPh sb="13" eb="14">
      <t>ナカ</t>
    </rPh>
    <rPh sb="14" eb="16">
      <t>ロウカ</t>
    </rPh>
    <rPh sb="16" eb="17">
      <t>トウ</t>
    </rPh>
    <rPh sb="23" eb="25">
      <t>ナオタツ</t>
    </rPh>
    <rPh sb="25" eb="26">
      <t>ヒカリ</t>
    </rPh>
    <rPh sb="27" eb="28">
      <t>ア</t>
    </rPh>
    <rPh sb="32" eb="34">
      <t>バアイ</t>
    </rPh>
    <rPh sb="35" eb="37">
      <t>ニッシャ</t>
    </rPh>
    <rPh sb="37" eb="38">
      <t>ネツ</t>
    </rPh>
    <rPh sb="38" eb="40">
      <t>シュトク</t>
    </rPh>
    <rPh sb="41" eb="42">
      <t>カンガ</t>
    </rPh>
    <rPh sb="43" eb="44">
      <t>カタ</t>
    </rPh>
    <phoneticPr fontId="4"/>
  </si>
  <si>
    <r>
      <t>『</t>
    </r>
    <r>
      <rPr>
        <u/>
        <sz val="11"/>
        <rFont val="ＭＳ Ｐゴシック"/>
        <family val="3"/>
        <charset val="128"/>
      </rPr>
      <t>直達光が当たらない場合は、日射熱取得は発生しない。</t>
    </r>
    <r>
      <rPr>
        <sz val="11"/>
        <rFont val="ＭＳ Ｐゴシック"/>
        <family val="3"/>
        <charset val="128"/>
      </rPr>
      <t>』</t>
    </r>
    <rPh sb="10" eb="12">
      <t>バアイ</t>
    </rPh>
    <rPh sb="14" eb="16">
      <t>ニッシャ</t>
    </rPh>
    <rPh sb="16" eb="17">
      <t>ネツ</t>
    </rPh>
    <rPh sb="17" eb="19">
      <t>シュトク</t>
    </rPh>
    <rPh sb="20" eb="22">
      <t>ハッセイ</t>
    </rPh>
    <phoneticPr fontId="4"/>
  </si>
  <si>
    <t>中廊下等</t>
    <rPh sb="0" eb="1">
      <t>ナカ</t>
    </rPh>
    <rPh sb="1" eb="3">
      <t>ロウカ</t>
    </rPh>
    <rPh sb="3" eb="4">
      <t>トウ</t>
    </rPh>
    <phoneticPr fontId="4"/>
  </si>
  <si>
    <t>直達光が当たる壁</t>
    <rPh sb="0" eb="1">
      <t>チョク</t>
    </rPh>
    <rPh sb="1" eb="2">
      <t>タツ</t>
    </rPh>
    <rPh sb="2" eb="3">
      <t>ヒカリ</t>
    </rPh>
    <rPh sb="4" eb="5">
      <t>ア</t>
    </rPh>
    <rPh sb="7" eb="8">
      <t>カベ</t>
    </rPh>
    <phoneticPr fontId="4"/>
  </si>
  <si>
    <t>直達光が当たらない壁</t>
    <rPh sb="0" eb="2">
      <t>チョクタツ</t>
    </rPh>
    <rPh sb="2" eb="3">
      <t>ヒカリ</t>
    </rPh>
    <rPh sb="4" eb="5">
      <t>ア</t>
    </rPh>
    <rPh sb="9" eb="10">
      <t>カベ</t>
    </rPh>
    <phoneticPr fontId="4"/>
  </si>
  <si>
    <t>※住宅性能表示制度Ｑ&amp;Ａ　整理番号5-030による</t>
    <rPh sb="1" eb="3">
      <t>ジュウタク</t>
    </rPh>
    <rPh sb="3" eb="5">
      <t>セイノウ</t>
    </rPh>
    <rPh sb="5" eb="7">
      <t>ヒョウジ</t>
    </rPh>
    <rPh sb="7" eb="9">
      <t>セイド</t>
    </rPh>
    <rPh sb="13" eb="15">
      <t>セイリ</t>
    </rPh>
    <rPh sb="15" eb="17">
      <t>バンゴウ</t>
    </rPh>
    <phoneticPr fontId="4"/>
  </si>
  <si>
    <t>[W/(W/㎡)]</t>
    <phoneticPr fontId="4"/>
  </si>
  <si>
    <t>温度差係数</t>
    <rPh sb="0" eb="3">
      <t>オンドサ</t>
    </rPh>
    <rPh sb="3" eb="5">
      <t>ケイスウ</t>
    </rPh>
    <phoneticPr fontId="4"/>
  </si>
  <si>
    <t>線熱貫流率
[W/(m・K)]</t>
    <rPh sb="0" eb="5">
      <t>センネツカンリュウリツ</t>
    </rPh>
    <phoneticPr fontId="4"/>
  </si>
  <si>
    <t>面積
[㎡]</t>
    <rPh sb="0" eb="2">
      <t>メンセキ</t>
    </rPh>
    <phoneticPr fontId="4"/>
  </si>
  <si>
    <t>熱貫流率
[W/(㎡･K)]</t>
    <rPh sb="0" eb="1">
      <t>ネツ</t>
    </rPh>
    <rPh sb="1" eb="2">
      <t>カン</t>
    </rPh>
    <rPh sb="2" eb="3">
      <t>リュウ</t>
    </rPh>
    <rPh sb="3" eb="4">
      <t>リツ</t>
    </rPh>
    <phoneticPr fontId="4"/>
  </si>
  <si>
    <t>熱損失
[W/K]</t>
    <rPh sb="0" eb="1">
      <t>ネツ</t>
    </rPh>
    <rPh sb="1" eb="3">
      <t>ソンシツ</t>
    </rPh>
    <phoneticPr fontId="4"/>
  </si>
  <si>
    <t>基礎壁合計</t>
    <rPh sb="0" eb="2">
      <t>キソ</t>
    </rPh>
    <rPh sb="2" eb="3">
      <t>カベ</t>
    </rPh>
    <rPh sb="3" eb="5">
      <t>ゴウケイ</t>
    </rPh>
    <phoneticPr fontId="4"/>
  </si>
  <si>
    <t>方位</t>
    <rPh sb="0" eb="1">
      <t>ホウ</t>
    </rPh>
    <rPh sb="1" eb="2">
      <t>イ</t>
    </rPh>
    <phoneticPr fontId="41"/>
  </si>
  <si>
    <t>南</t>
    <rPh sb="0" eb="1">
      <t>ミナミ</t>
    </rPh>
    <phoneticPr fontId="40"/>
  </si>
  <si>
    <t>東</t>
    <rPh sb="0" eb="1">
      <t>ヒガシ</t>
    </rPh>
    <phoneticPr fontId="40"/>
  </si>
  <si>
    <t>北</t>
    <rPh sb="0" eb="1">
      <t>キタ</t>
    </rPh>
    <phoneticPr fontId="40"/>
  </si>
  <si>
    <t>西</t>
    <rPh sb="0" eb="1">
      <t>ニシ</t>
    </rPh>
    <phoneticPr fontId="40"/>
  </si>
  <si>
    <t>南東</t>
    <rPh sb="0" eb="2">
      <t>ナントウ</t>
    </rPh>
    <phoneticPr fontId="40"/>
  </si>
  <si>
    <t>北東</t>
    <rPh sb="0" eb="2">
      <t>ホクトウ</t>
    </rPh>
    <phoneticPr fontId="40"/>
  </si>
  <si>
    <t>北西</t>
    <rPh sb="0" eb="2">
      <t>ホクセイ</t>
    </rPh>
    <phoneticPr fontId="40"/>
  </si>
  <si>
    <t>南西</t>
    <rPh sb="0" eb="2">
      <t>ナンセイ</t>
    </rPh>
    <phoneticPr fontId="40"/>
  </si>
  <si>
    <t>方位係数</t>
  </si>
  <si>
    <t>冷房期</t>
    <phoneticPr fontId="4"/>
  </si>
  <si>
    <t>暖房期</t>
    <rPh sb="0" eb="2">
      <t>ダンボウ</t>
    </rPh>
    <phoneticPr fontId="4"/>
  </si>
  <si>
    <t>　外皮等面積の合計(ΣA)</t>
    <phoneticPr fontId="4"/>
  </si>
  <si>
    <r>
      <t>　外皮平均熱貫流率(U</t>
    </r>
    <r>
      <rPr>
        <vertAlign val="subscript"/>
        <sz val="10"/>
        <rFont val="ＭＳ Ｐゴシック"/>
        <family val="3"/>
        <charset val="128"/>
      </rPr>
      <t>A</t>
    </r>
    <r>
      <rPr>
        <sz val="10"/>
        <rFont val="ＭＳ Ｐゴシック"/>
        <family val="3"/>
        <charset val="128"/>
      </rPr>
      <t>)</t>
    </r>
    <phoneticPr fontId="4"/>
  </si>
  <si>
    <r>
      <t>　冷房期の平均日射熱取得率(η</t>
    </r>
    <r>
      <rPr>
        <vertAlign val="subscript"/>
        <sz val="10"/>
        <rFont val="ＭＳ Ｐゴシック"/>
        <family val="3"/>
        <charset val="128"/>
      </rPr>
      <t>AC</t>
    </r>
    <r>
      <rPr>
        <sz val="10"/>
        <rFont val="ＭＳ Ｐゴシック"/>
        <family val="3"/>
        <charset val="128"/>
      </rPr>
      <t>)</t>
    </r>
    <rPh sb="3" eb="4">
      <t>キ</t>
    </rPh>
    <phoneticPr fontId="4"/>
  </si>
  <si>
    <t>寸法[ｍ]</t>
    <rPh sb="0" eb="2">
      <t>スンポウ</t>
    </rPh>
    <phoneticPr fontId="4"/>
  </si>
  <si>
    <r>
      <t xml:space="preserve">熱貫流率
</t>
    </r>
    <r>
      <rPr>
        <sz val="8"/>
        <rFont val="ＭＳ Ｐゴシック"/>
        <family val="3"/>
        <charset val="128"/>
      </rPr>
      <t>[W/(㎡･K)]</t>
    </r>
    <rPh sb="0" eb="1">
      <t>ネツ</t>
    </rPh>
    <rPh sb="1" eb="3">
      <t>カンリュウ</t>
    </rPh>
    <rPh sb="3" eb="4">
      <t>リツ</t>
    </rPh>
    <phoneticPr fontId="4"/>
  </si>
  <si>
    <r>
      <t xml:space="preserve">冷房期
日射熱
取得量
</t>
    </r>
    <r>
      <rPr>
        <sz val="8"/>
        <rFont val="ＭＳ Ｐゴシック"/>
        <family val="3"/>
        <charset val="128"/>
      </rPr>
      <t>[W/(W/㎡)]</t>
    </r>
    <rPh sb="0" eb="2">
      <t>レイボウ</t>
    </rPh>
    <rPh sb="2" eb="3">
      <t>キ</t>
    </rPh>
    <rPh sb="4" eb="6">
      <t>ニッシャ</t>
    </rPh>
    <rPh sb="6" eb="7">
      <t>ネツ</t>
    </rPh>
    <rPh sb="8" eb="10">
      <t>シュトク</t>
    </rPh>
    <rPh sb="10" eb="11">
      <t>リョウ</t>
    </rPh>
    <phoneticPr fontId="4"/>
  </si>
  <si>
    <r>
      <t xml:space="preserve">暖房期
日射熱
取得量
</t>
    </r>
    <r>
      <rPr>
        <sz val="8"/>
        <rFont val="ＭＳ Ｐゴシック"/>
        <family val="3"/>
        <charset val="128"/>
      </rPr>
      <t>[W/(W/㎡)]</t>
    </r>
    <rPh sb="0" eb="2">
      <t>ダンボウ</t>
    </rPh>
    <rPh sb="2" eb="3">
      <t>キ</t>
    </rPh>
    <phoneticPr fontId="4"/>
  </si>
  <si>
    <t>庇による補正計算[ｍ]</t>
    <rPh sb="0" eb="1">
      <t>ヒサシ</t>
    </rPh>
    <rPh sb="4" eb="6">
      <t>ホセイ</t>
    </rPh>
    <rPh sb="6" eb="8">
      <t>ケイサン</t>
    </rPh>
    <phoneticPr fontId="4"/>
  </si>
  <si>
    <t>日射熱取得[W/(W/㎡)]</t>
    <rPh sb="0" eb="2">
      <t>ニッシャ</t>
    </rPh>
    <rPh sb="2" eb="3">
      <t>ネツ</t>
    </rPh>
    <rPh sb="3" eb="5">
      <t>シュトク</t>
    </rPh>
    <phoneticPr fontId="4"/>
  </si>
  <si>
    <t>外壁
面積
[㎡]</t>
    <rPh sb="0" eb="2">
      <t>ガイヘキ</t>
    </rPh>
    <rPh sb="3" eb="5">
      <t>メンセキ</t>
    </rPh>
    <phoneticPr fontId="4"/>
  </si>
  <si>
    <t>除外窓
等面積
[㎡]</t>
    <rPh sb="0" eb="2">
      <t>ジョガイ</t>
    </rPh>
    <rPh sb="2" eb="3">
      <t>マド</t>
    </rPh>
    <rPh sb="4" eb="5">
      <t>トウ</t>
    </rPh>
    <rPh sb="5" eb="7">
      <t>メンセキ</t>
    </rPh>
    <phoneticPr fontId="4"/>
  </si>
  <si>
    <t>計算対象
外壁面積[㎡]</t>
    <rPh sb="0" eb="2">
      <t>ケイサン</t>
    </rPh>
    <rPh sb="2" eb="4">
      <t>タイショウ</t>
    </rPh>
    <rPh sb="5" eb="7">
      <t>ガイヘキ</t>
    </rPh>
    <rPh sb="7" eb="9">
      <t>メンセキ</t>
    </rPh>
    <phoneticPr fontId="4"/>
  </si>
  <si>
    <t>熱貫流率
[W/(㎡･K)]</t>
    <rPh sb="0" eb="1">
      <t>ネツ</t>
    </rPh>
    <rPh sb="1" eb="3">
      <t>カンリュウ</t>
    </rPh>
    <rPh sb="3" eb="4">
      <t>リツ</t>
    </rPh>
    <phoneticPr fontId="4"/>
  </si>
  <si>
    <t>熱橋
長さ
[ｍ]</t>
    <rPh sb="0" eb="1">
      <t>ネッ</t>
    </rPh>
    <rPh sb="1" eb="2">
      <t>キョウ</t>
    </rPh>
    <rPh sb="3" eb="4">
      <t>ナガ</t>
    </rPh>
    <phoneticPr fontId="4"/>
  </si>
  <si>
    <r>
      <t xml:space="preserve">線熱貫流率
</t>
    </r>
    <r>
      <rPr>
        <sz val="8"/>
        <rFont val="ＭＳ Ｐゴシック"/>
        <family val="3"/>
        <charset val="128"/>
      </rPr>
      <t>[W/(m･K)]</t>
    </r>
    <rPh sb="1" eb="2">
      <t>ネツ</t>
    </rPh>
    <rPh sb="2" eb="4">
      <t>カンリュウ</t>
    </rPh>
    <rPh sb="4" eb="5">
      <t>リツ</t>
    </rPh>
    <phoneticPr fontId="4"/>
  </si>
  <si>
    <t>屋根等
面積
[㎡]</t>
    <rPh sb="0" eb="2">
      <t>ヤネ</t>
    </rPh>
    <rPh sb="2" eb="3">
      <t>トウ</t>
    </rPh>
    <rPh sb="4" eb="6">
      <t>メンセキ</t>
    </rPh>
    <phoneticPr fontId="4"/>
  </si>
  <si>
    <r>
      <rPr>
        <sz val="10"/>
        <rFont val="ＭＳ Ｐゴシック"/>
        <family val="3"/>
        <charset val="128"/>
      </rPr>
      <t>計算対象外皮面積</t>
    </r>
    <r>
      <rPr>
        <sz val="9.5"/>
        <rFont val="ＭＳ Ｐゴシック"/>
        <family val="3"/>
        <charset val="128"/>
      </rPr>
      <t xml:space="preserve">
[㎡]</t>
    </r>
    <rPh sb="0" eb="2">
      <t>ケイサン</t>
    </rPh>
    <rPh sb="2" eb="4">
      <t>タイショウ</t>
    </rPh>
    <rPh sb="4" eb="6">
      <t>ガイヒ</t>
    </rPh>
    <rPh sb="6" eb="8">
      <t>メンセキ</t>
    </rPh>
    <phoneticPr fontId="4"/>
  </si>
  <si>
    <r>
      <t xml:space="preserve">冷房期
日射熱
取得量
</t>
    </r>
    <r>
      <rPr>
        <sz val="8"/>
        <rFont val="ＭＳ Ｐゴシック"/>
        <family val="3"/>
        <charset val="128"/>
      </rPr>
      <t>[W/(W/㎡)]</t>
    </r>
    <rPh sb="0" eb="2">
      <t>レイボウ</t>
    </rPh>
    <rPh sb="2" eb="3">
      <t>キ</t>
    </rPh>
    <phoneticPr fontId="4"/>
  </si>
  <si>
    <t>土間床等の外周長Ｌ［m］</t>
    <phoneticPr fontId="4"/>
  </si>
  <si>
    <r>
      <t xml:space="preserve">冷房期日射熱取得量
</t>
    </r>
    <r>
      <rPr>
        <sz val="8"/>
        <rFont val="ＭＳ Ｐゴシック"/>
        <family val="3"/>
        <charset val="128"/>
      </rPr>
      <t>[W/(W/㎡)]</t>
    </r>
    <rPh sb="0" eb="2">
      <t>レイボウ</t>
    </rPh>
    <rPh sb="2" eb="3">
      <t>キ</t>
    </rPh>
    <phoneticPr fontId="4"/>
  </si>
  <si>
    <r>
      <t xml:space="preserve">暖房期日射熱取得量
</t>
    </r>
    <r>
      <rPr>
        <sz val="8"/>
        <rFont val="ＭＳ Ｐゴシック"/>
        <family val="3"/>
        <charset val="128"/>
      </rPr>
      <t>[W/(W/㎡)]</t>
    </r>
    <rPh sb="0" eb="2">
      <t>ダンボウ</t>
    </rPh>
    <rPh sb="2" eb="3">
      <t>キ</t>
    </rPh>
    <phoneticPr fontId="4"/>
  </si>
  <si>
    <t>更新履歴</t>
    <rPh sb="0" eb="2">
      <t>コウシン</t>
    </rPh>
    <rPh sb="2" eb="4">
      <t>リレキ</t>
    </rPh>
    <phoneticPr fontId="4"/>
  </si>
  <si>
    <t>バージョン名</t>
    <rPh sb="5" eb="6">
      <t>メイ</t>
    </rPh>
    <phoneticPr fontId="4"/>
  </si>
  <si>
    <t>番号</t>
    <rPh sb="0" eb="2">
      <t>バンゴウ</t>
    </rPh>
    <phoneticPr fontId="4"/>
  </si>
  <si>
    <t>更新箇所</t>
    <rPh sb="0" eb="2">
      <t>コウシン</t>
    </rPh>
    <rPh sb="2" eb="4">
      <t>カショ</t>
    </rPh>
    <phoneticPr fontId="4"/>
  </si>
  <si>
    <t>更新内容</t>
    <rPh sb="0" eb="2">
      <t>コウシン</t>
    </rPh>
    <rPh sb="2" eb="4">
      <t>ナイヨウ</t>
    </rPh>
    <phoneticPr fontId="4"/>
  </si>
  <si>
    <t>更新日</t>
    <rPh sb="0" eb="2">
      <t>コウシン</t>
    </rPh>
    <rPh sb="2" eb="3">
      <t>ビ</t>
    </rPh>
    <phoneticPr fontId="4"/>
  </si>
  <si>
    <t>1）</t>
    <phoneticPr fontId="4"/>
  </si>
  <si>
    <t>ver3.0
(webプログラムver3.0対応)</t>
    <rPh sb="22" eb="24">
      <t>タイオウ</t>
    </rPh>
    <phoneticPr fontId="4"/>
  </si>
  <si>
    <t>シートD（基礎壁、基礎等）</t>
    <rPh sb="5" eb="7">
      <t>キソ</t>
    </rPh>
    <rPh sb="7" eb="8">
      <t>カベ</t>
    </rPh>
    <rPh sb="9" eb="11">
      <t>キソ</t>
    </rPh>
    <rPh sb="11" eb="12">
      <t>ナド</t>
    </rPh>
    <phoneticPr fontId="4"/>
  </si>
  <si>
    <t>webプログラムver3.0対応へ変更</t>
    <rPh sb="14" eb="16">
      <t>タイオウ</t>
    </rPh>
    <rPh sb="17" eb="19">
      <t>ヘンコウ</t>
    </rPh>
    <phoneticPr fontId="4"/>
  </si>
  <si>
    <t>ver3.1</t>
    <phoneticPr fontId="4"/>
  </si>
  <si>
    <t>１）</t>
    <phoneticPr fontId="4"/>
  </si>
  <si>
    <t>２）</t>
    <phoneticPr fontId="4"/>
  </si>
  <si>
    <t>シートA（方位別計算）</t>
    <rPh sb="5" eb="10">
      <t>ホウイベツケイサン</t>
    </rPh>
    <phoneticPr fontId="4"/>
  </si>
  <si>
    <t>シートC（屋根・天井・床等）</t>
    <phoneticPr fontId="4"/>
  </si>
  <si>
    <t>一部方位、冷房期取得日射熱補正係数に関する修正</t>
    <phoneticPr fontId="4"/>
  </si>
  <si>
    <t>天窓の冷房期、暖房期取得日射熱補正係数に関する不具合の修正</t>
    <phoneticPr fontId="4"/>
  </si>
  <si>
    <t>３）</t>
    <phoneticPr fontId="4"/>
  </si>
  <si>
    <t>付属部材による補正熱貫流率に関する修正</t>
    <rPh sb="0" eb="4">
      <t>フゾクブザイ</t>
    </rPh>
    <rPh sb="7" eb="9">
      <t>ホセイ</t>
    </rPh>
    <rPh sb="9" eb="13">
      <t>ネツカンリュウリツ</t>
    </rPh>
    <phoneticPr fontId="4"/>
  </si>
  <si>
    <t>天窓における付属部材による補正熱貫流率に関する修正</t>
    <rPh sb="0" eb="2">
      <t>テンマド</t>
    </rPh>
    <rPh sb="6" eb="10">
      <t>フゾクブザイ</t>
    </rPh>
    <rPh sb="13" eb="15">
      <t>ホセイ</t>
    </rPh>
    <rPh sb="15" eb="19">
      <t>ネツカンリュウリツ</t>
    </rPh>
    <phoneticPr fontId="4"/>
  </si>
  <si>
    <t>４）</t>
    <phoneticPr fontId="4"/>
  </si>
  <si>
    <t>【付録】</t>
    <rPh sb="1" eb="3">
      <t>フロク</t>
    </rPh>
    <phoneticPr fontId="4"/>
  </si>
  <si>
    <t>断熱材
熱抵抗
Ｒ１</t>
    <rPh sb="0" eb="3">
      <t>ダンネツザイ</t>
    </rPh>
    <rPh sb="4" eb="5">
      <t>ネツ</t>
    </rPh>
    <rPh sb="5" eb="7">
      <t>テイコウ</t>
    </rPh>
    <phoneticPr fontId="4"/>
  </si>
  <si>
    <t>断熱材
熱抵抗
Ｒ２</t>
    <rPh sb="0" eb="3">
      <t>ダンネツザイ</t>
    </rPh>
    <rPh sb="4" eb="5">
      <t>ネツ</t>
    </rPh>
    <rPh sb="5" eb="7">
      <t>テイコウ</t>
    </rPh>
    <phoneticPr fontId="4"/>
  </si>
  <si>
    <t>断熱材
熱抵抗
Ｒ３</t>
    <rPh sb="0" eb="3">
      <t>ダンネツザイ</t>
    </rPh>
    <rPh sb="4" eb="5">
      <t>ネツ</t>
    </rPh>
    <rPh sb="5" eb="7">
      <t>テイコウ</t>
    </rPh>
    <phoneticPr fontId="4"/>
  </si>
  <si>
    <t>断熱材
熱抵抗
Ｒ４</t>
    <rPh sb="0" eb="3">
      <t>ダンネツザイ</t>
    </rPh>
    <rPh sb="4" eb="5">
      <t>ネツ</t>
    </rPh>
    <rPh sb="5" eb="7">
      <t>テイコウ</t>
    </rPh>
    <phoneticPr fontId="4"/>
  </si>
  <si>
    <t>基礎高
Ｈ１</t>
    <rPh sb="0" eb="2">
      <t>キソ</t>
    </rPh>
    <rPh sb="2" eb="3">
      <t>タカ</t>
    </rPh>
    <phoneticPr fontId="4"/>
  </si>
  <si>
    <t>底盤高
Ｈ２</t>
    <rPh sb="0" eb="1">
      <t>テイ</t>
    </rPh>
    <rPh sb="1" eb="2">
      <t>バン</t>
    </rPh>
    <rPh sb="2" eb="3">
      <t>タカ</t>
    </rPh>
    <phoneticPr fontId="4"/>
  </si>
  <si>
    <t>断熱材
根入れ
Ｗ１</t>
    <rPh sb="0" eb="3">
      <t>ダンネツザイ</t>
    </rPh>
    <rPh sb="4" eb="5">
      <t>ネ</t>
    </rPh>
    <rPh sb="5" eb="6">
      <t>イ</t>
    </rPh>
    <phoneticPr fontId="4"/>
  </si>
  <si>
    <t>断熱材
折返し
Ｗ２</t>
    <rPh sb="0" eb="3">
      <t>ダンネツザイ</t>
    </rPh>
    <rPh sb="4" eb="6">
      <t>オリカエ</t>
    </rPh>
    <phoneticPr fontId="4"/>
  </si>
  <si>
    <t>断熱材
折返し
Ｗ３</t>
    <rPh sb="0" eb="3">
      <t>ダンネツザイ</t>
    </rPh>
    <rPh sb="4" eb="6">
      <t>オリカエ</t>
    </rPh>
    <phoneticPr fontId="4"/>
  </si>
  <si>
    <t>適　用
計算式
番　号</t>
    <rPh sb="0" eb="1">
      <t>テキ</t>
    </rPh>
    <rPh sb="2" eb="3">
      <t>ヨウ</t>
    </rPh>
    <rPh sb="4" eb="6">
      <t>ケイサン</t>
    </rPh>
    <rPh sb="6" eb="7">
      <t>シキ</t>
    </rPh>
    <rPh sb="8" eb="9">
      <t>バン</t>
    </rPh>
    <rPh sb="10" eb="11">
      <t>ゴウ</t>
    </rPh>
    <phoneticPr fontId="4"/>
  </si>
  <si>
    <t>H1≦0.4</t>
    <phoneticPr fontId="4"/>
  </si>
  <si>
    <t>（１）</t>
    <phoneticPr fontId="4"/>
  </si>
  <si>
    <t>W≦0.9</t>
    <phoneticPr fontId="4"/>
  </si>
  <si>
    <t>（３）</t>
    <phoneticPr fontId="4"/>
  </si>
  <si>
    <t>（３）１</t>
    <phoneticPr fontId="4"/>
  </si>
  <si>
    <t>（３）２</t>
    <phoneticPr fontId="4"/>
  </si>
  <si>
    <t>　注１：上記各部の寸法は下図の寸法等（長さｍ、熱抵抗㎡K/W）を入力して下さい。</t>
    <rPh sb="1" eb="2">
      <t>チュウ</t>
    </rPh>
    <rPh sb="4" eb="6">
      <t>ジョウキ</t>
    </rPh>
    <rPh sb="6" eb="8">
      <t>カクブ</t>
    </rPh>
    <rPh sb="9" eb="11">
      <t>スンポウ</t>
    </rPh>
    <rPh sb="12" eb="14">
      <t>カズ</t>
    </rPh>
    <rPh sb="15" eb="17">
      <t>スンポウ</t>
    </rPh>
    <rPh sb="17" eb="18">
      <t>トウ</t>
    </rPh>
    <rPh sb="19" eb="20">
      <t>ナガ</t>
    </rPh>
    <rPh sb="23" eb="24">
      <t>ネツ</t>
    </rPh>
    <rPh sb="24" eb="26">
      <t>テイコウ</t>
    </rPh>
    <rPh sb="32" eb="34">
      <t>ニュウリョク</t>
    </rPh>
    <rPh sb="36" eb="37">
      <t>クダ</t>
    </rPh>
    <phoneticPr fontId="4"/>
  </si>
  <si>
    <t>このシートは、内訳計算シートDにて旧計算法を選択した場合に、２）の線熱貫流率へ入力する値を計算する為のシートです。
算出された線熱貫流率は、内訳計算シートDに転記をしてください。</t>
    <rPh sb="7" eb="9">
      <t>ウチワケ</t>
    </rPh>
    <rPh sb="9" eb="11">
      <t>ケイサン</t>
    </rPh>
    <rPh sb="17" eb="18">
      <t>キュウ</t>
    </rPh>
    <rPh sb="18" eb="21">
      <t>ケイサンホウ</t>
    </rPh>
    <rPh sb="22" eb="24">
      <t>センタク</t>
    </rPh>
    <rPh sb="26" eb="28">
      <t>バアイ</t>
    </rPh>
    <rPh sb="33" eb="34">
      <t>セン</t>
    </rPh>
    <rPh sb="34" eb="38">
      <t>ネツカン</t>
    </rPh>
    <rPh sb="39" eb="41">
      <t>ニュウリョク</t>
    </rPh>
    <rPh sb="43" eb="44">
      <t>アタイ</t>
    </rPh>
    <rPh sb="45" eb="47">
      <t>ケイサン</t>
    </rPh>
    <rPh sb="49" eb="50">
      <t>タメ</t>
    </rPh>
    <phoneticPr fontId="47"/>
  </si>
  <si>
    <t>新旧</t>
    <rPh sb="0" eb="2">
      <t>シンキュウ</t>
    </rPh>
    <phoneticPr fontId="40"/>
  </si>
  <si>
    <t>はじめにどちらかをご選択ください→</t>
    <phoneticPr fontId="40"/>
  </si>
  <si>
    <t>新計算法</t>
    <rPh sb="0" eb="1">
      <t>シン</t>
    </rPh>
    <rPh sb="1" eb="4">
      <t>ケイサンホウ</t>
    </rPh>
    <phoneticPr fontId="40"/>
  </si>
  <si>
    <t>旧計算法</t>
    <rPh sb="0" eb="1">
      <t>キュウ</t>
    </rPh>
    <rPh sb="1" eb="4">
      <t>ケイサンホウ</t>
    </rPh>
    <phoneticPr fontId="40"/>
  </si>
  <si>
    <t>※3）において温度差係数を分けて計算する場合、上表は分けて入力して下さい。その際、面積は重複しないように片方のみを入力して下さい。</t>
    <rPh sb="13" eb="14">
      <t>ワ</t>
    </rPh>
    <rPh sb="16" eb="18">
      <t>ケイサン</t>
    </rPh>
    <phoneticPr fontId="4"/>
  </si>
  <si>
    <t>土間等熱損失合計</t>
    <rPh sb="0" eb="2">
      <t>ドマ</t>
    </rPh>
    <rPh sb="2" eb="3">
      <t>トウ</t>
    </rPh>
    <rPh sb="3" eb="4">
      <t>ネツ</t>
    </rPh>
    <rPh sb="4" eb="6">
      <t>ソンシツ</t>
    </rPh>
    <rPh sb="6" eb="8">
      <t>ゴウケイ</t>
    </rPh>
    <phoneticPr fontId="4"/>
  </si>
  <si>
    <t>夏</t>
  </si>
  <si>
    <t>冬</t>
    <rPh sb="0" eb="1">
      <t>フユ</t>
    </rPh>
    <phoneticPr fontId="4"/>
  </si>
  <si>
    <t>温度差係数</t>
    <rPh sb="0" eb="5">
      <t>オンドサケイスウ</t>
    </rPh>
    <phoneticPr fontId="4"/>
  </si>
  <si>
    <t>温度差係数</t>
    <phoneticPr fontId="41"/>
  </si>
  <si>
    <r>
      <t>内訳計算シートD　　</t>
    </r>
    <r>
      <rPr>
        <b/>
        <sz val="14"/>
        <rFont val="HG丸ｺﾞｼｯｸM-PRO"/>
        <family val="3"/>
        <charset val="128"/>
      </rPr>
      <t>＜基礎壁、基礎等＞</t>
    </r>
    <r>
      <rPr>
        <sz val="12"/>
        <rFont val="HG丸ｺﾞｼｯｸM-PRO"/>
        <family val="3"/>
        <charset val="128"/>
      </rPr>
      <t xml:space="preserve"> の熱損失量（基礎断熱及び土間床等の部分）</t>
    </r>
    <rPh sb="0" eb="2">
      <t>ウチワケ</t>
    </rPh>
    <rPh sb="2" eb="4">
      <t>ケイサン</t>
    </rPh>
    <rPh sb="15" eb="18">
      <t>キソトウ</t>
    </rPh>
    <rPh sb="21" eb="22">
      <t>ネツ</t>
    </rPh>
    <rPh sb="22" eb="24">
      <t>ソンシツ</t>
    </rPh>
    <rPh sb="24" eb="25">
      <t>リョウ</t>
    </rPh>
    <rPh sb="26" eb="28">
      <t>キソ</t>
    </rPh>
    <rPh sb="28" eb="30">
      <t>ダンネツ</t>
    </rPh>
    <rPh sb="30" eb="31">
      <t>オヨ</t>
    </rPh>
    <rPh sb="32" eb="34">
      <t>ドマ</t>
    </rPh>
    <rPh sb="34" eb="35">
      <t>ユカ</t>
    </rPh>
    <rPh sb="35" eb="36">
      <t>トウ</t>
    </rPh>
    <rPh sb="37" eb="39">
      <t>ブブン</t>
    </rPh>
    <phoneticPr fontId="4"/>
  </si>
  <si>
    <t>2）</t>
    <phoneticPr fontId="4"/>
  </si>
  <si>
    <t>3）</t>
    <phoneticPr fontId="4"/>
  </si>
  <si>
    <t>シート【付録】</t>
    <rPh sb="4" eb="6">
      <t>フロク</t>
    </rPh>
    <phoneticPr fontId="4"/>
  </si>
  <si>
    <t>新規追加（旧基礎計算のための対応）</t>
    <rPh sb="0" eb="4">
      <t>シンキツイカ</t>
    </rPh>
    <rPh sb="5" eb="6">
      <t>キュウ</t>
    </rPh>
    <rPh sb="6" eb="8">
      <t>キソ</t>
    </rPh>
    <rPh sb="8" eb="10">
      <t>ケイサン</t>
    </rPh>
    <rPh sb="14" eb="16">
      <t>タイオウ</t>
    </rPh>
    <phoneticPr fontId="4"/>
  </si>
  <si>
    <t>Ver3.2</t>
    <phoneticPr fontId="4"/>
  </si>
  <si>
    <t>シートD（基礎壁、基礎等）</t>
    <phoneticPr fontId="4"/>
  </si>
  <si>
    <t>等級3</t>
    <phoneticPr fontId="4"/>
  </si>
  <si>
    <t>等級５</t>
    <rPh sb="0" eb="2">
      <t>トウキュウ</t>
    </rPh>
    <phoneticPr fontId="4"/>
  </si>
  <si>
    <r>
      <t>Ｕ</t>
    </r>
    <r>
      <rPr>
        <vertAlign val="subscript"/>
        <sz val="11"/>
        <rFont val="ＭＳ Ｐゴシック"/>
        <family val="3"/>
        <charset val="128"/>
      </rPr>
      <t>A</t>
    </r>
    <phoneticPr fontId="4"/>
  </si>
  <si>
    <r>
      <t>η</t>
    </r>
    <r>
      <rPr>
        <vertAlign val="subscript"/>
        <sz val="11"/>
        <rFont val="ＭＳ Ｐゴシック"/>
        <family val="3"/>
        <charset val="128"/>
      </rPr>
      <t>AC</t>
    </r>
    <phoneticPr fontId="4"/>
  </si>
  <si>
    <t>リンクセル</t>
    <phoneticPr fontId="4"/>
  </si>
  <si>
    <t>選択地域区分による基準値</t>
    <rPh sb="0" eb="2">
      <t>センタク</t>
    </rPh>
    <rPh sb="2" eb="6">
      <t>チイキクブン</t>
    </rPh>
    <rPh sb="9" eb="12">
      <t>キジュンチ</t>
    </rPh>
    <phoneticPr fontId="4"/>
  </si>
  <si>
    <t>小計（端数処理なし）</t>
    <rPh sb="0" eb="2">
      <t>ショウケイ</t>
    </rPh>
    <rPh sb="3" eb="7">
      <t>ハスウショリ</t>
    </rPh>
    <phoneticPr fontId="4"/>
  </si>
  <si>
    <t>q</t>
    <phoneticPr fontId="4"/>
  </si>
  <si>
    <r>
      <t>m</t>
    </r>
    <r>
      <rPr>
        <vertAlign val="subscript"/>
        <sz val="11"/>
        <rFont val="ＭＳ Ｐゴシック"/>
        <family val="3"/>
        <charset val="128"/>
      </rPr>
      <t>c</t>
    </r>
    <phoneticPr fontId="4"/>
  </si>
  <si>
    <r>
      <t>m</t>
    </r>
    <r>
      <rPr>
        <vertAlign val="subscript"/>
        <sz val="11"/>
        <rFont val="ＭＳ Ｐゴシック"/>
        <family val="3"/>
        <charset val="128"/>
      </rPr>
      <t>h</t>
    </r>
    <phoneticPr fontId="4"/>
  </si>
  <si>
    <t>シート共通条件・結果</t>
    <rPh sb="3" eb="7">
      <t>キョウツウジョウケン</t>
    </rPh>
    <rPh sb="8" eb="10">
      <t>ケッカ</t>
    </rPh>
    <phoneticPr fontId="4"/>
  </si>
  <si>
    <t>等級5対応</t>
    <rPh sb="0" eb="2">
      <t>トウキュウ</t>
    </rPh>
    <rPh sb="3" eb="5">
      <t>タイオウ</t>
    </rPh>
    <phoneticPr fontId="4"/>
  </si>
  <si>
    <t>新旧計算の選択、入力可能欄の追加対応、説明の追記</t>
    <rPh sb="0" eb="2">
      <t>シンキュウ</t>
    </rPh>
    <rPh sb="2" eb="4">
      <t>ケイサン</t>
    </rPh>
    <rPh sb="5" eb="7">
      <t>センタク</t>
    </rPh>
    <rPh sb="8" eb="10">
      <t>ニュウリョク</t>
    </rPh>
    <rPh sb="10" eb="12">
      <t>カノウ</t>
    </rPh>
    <rPh sb="12" eb="13">
      <t>ラン</t>
    </rPh>
    <rPh sb="14" eb="16">
      <t>ツイカ</t>
    </rPh>
    <rPh sb="16" eb="18">
      <t>タイオウ</t>
    </rPh>
    <rPh sb="19" eb="21">
      <t>セツメイ</t>
    </rPh>
    <rPh sb="22" eb="24">
      <t>ツイキ</t>
    </rPh>
    <phoneticPr fontId="4"/>
  </si>
  <si>
    <t>　注３：本計算シートの計算方法は、（国研）建築研究所が示す外皮性能の計算方法を原則遵守しています。</t>
    <rPh sb="1" eb="2">
      <t>チュウ</t>
    </rPh>
    <rPh sb="4" eb="5">
      <t>ホン</t>
    </rPh>
    <rPh sb="5" eb="7">
      <t>ケイサン</t>
    </rPh>
    <rPh sb="11" eb="13">
      <t>ケイサン</t>
    </rPh>
    <rPh sb="13" eb="15">
      <t>ホウホウ</t>
    </rPh>
    <rPh sb="18" eb="19">
      <t>クニ</t>
    </rPh>
    <rPh sb="19" eb="20">
      <t>ケン</t>
    </rPh>
    <rPh sb="21" eb="23">
      <t>ケンチク</t>
    </rPh>
    <rPh sb="23" eb="26">
      <t>ケンキュウジョ</t>
    </rPh>
    <rPh sb="27" eb="28">
      <t>シメ</t>
    </rPh>
    <rPh sb="29" eb="31">
      <t>ガイヒ</t>
    </rPh>
    <rPh sb="31" eb="33">
      <t>セイノウ</t>
    </rPh>
    <rPh sb="34" eb="36">
      <t>ケイサン</t>
    </rPh>
    <rPh sb="36" eb="38">
      <t>ホウホウ</t>
    </rPh>
    <rPh sb="39" eb="41">
      <t>ゲンソク</t>
    </rPh>
    <rPh sb="41" eb="43">
      <t>ジュンシュ</t>
    </rPh>
    <phoneticPr fontId="4"/>
  </si>
  <si>
    <t>1）土間床等の面積の入力</t>
    <rPh sb="2" eb="4">
      <t>ドマ</t>
    </rPh>
    <rPh sb="4" eb="5">
      <t>ユカ</t>
    </rPh>
    <rPh sb="5" eb="6">
      <t>トウ</t>
    </rPh>
    <rPh sb="7" eb="9">
      <t>メンセキ</t>
    </rPh>
    <rPh sb="10" eb="12">
      <t>ニュウリョク</t>
    </rPh>
    <phoneticPr fontId="4"/>
  </si>
  <si>
    <t>2）土間等の外周長さと線熱貫流率の入力</t>
    <phoneticPr fontId="40"/>
  </si>
  <si>
    <t>Ver3.3</t>
    <phoneticPr fontId="4"/>
  </si>
  <si>
    <t>旧基礎計算時の基礎壁入力の適用</t>
    <rPh sb="0" eb="6">
      <t>キュウキソケイサンジ</t>
    </rPh>
    <rPh sb="7" eb="10">
      <t>キソカベ</t>
    </rPh>
    <rPh sb="10" eb="12">
      <t>ニュウリョク</t>
    </rPh>
    <rPh sb="13" eb="15">
      <t>テキヨウ</t>
    </rPh>
    <phoneticPr fontId="4"/>
  </si>
  <si>
    <t>規約</t>
    <rPh sb="0" eb="2">
      <t>キヤク</t>
    </rPh>
    <phoneticPr fontId="4"/>
  </si>
  <si>
    <t>Ver3.4</t>
    <phoneticPr fontId="4"/>
  </si>
  <si>
    <t>シートA（方位別計算）</t>
    <phoneticPr fontId="4"/>
  </si>
  <si>
    <t>温度差係数0の追加</t>
    <rPh sb="0" eb="5">
      <t>オンドサケイスウ</t>
    </rPh>
    <rPh sb="7" eb="9">
      <t>ツイカ</t>
    </rPh>
    <phoneticPr fontId="4"/>
  </si>
  <si>
    <t>日射熱取得　加算の必要性チェックマスの不具合の修正</t>
    <rPh sb="0" eb="2">
      <t>ニッシャ</t>
    </rPh>
    <rPh sb="2" eb="3">
      <t>ネツ</t>
    </rPh>
    <rPh sb="3" eb="5">
      <t>シュトク</t>
    </rPh>
    <rPh sb="6" eb="8">
      <t>カサン</t>
    </rPh>
    <rPh sb="9" eb="11">
      <t>ヒツヨウ</t>
    </rPh>
    <rPh sb="11" eb="12">
      <t>セイ</t>
    </rPh>
    <rPh sb="19" eb="22">
      <t>フグアイ</t>
    </rPh>
    <rPh sb="23" eb="25">
      <t>シュウセイ</t>
    </rPh>
    <phoneticPr fontId="4"/>
  </si>
  <si>
    <t>シートA～D</t>
    <phoneticPr fontId="4"/>
  </si>
  <si>
    <t>規約リンク</t>
    <rPh sb="0" eb="2">
      <t>キヤク</t>
    </rPh>
    <phoneticPr fontId="4"/>
  </si>
  <si>
    <t>等級7</t>
    <phoneticPr fontId="4"/>
  </si>
  <si>
    <t>等級7</t>
    <rPh sb="0" eb="2">
      <t>トウキュウ</t>
    </rPh>
    <phoneticPr fontId="4"/>
  </si>
  <si>
    <t>等級6</t>
    <rPh sb="0" eb="2">
      <t>トウキュウ</t>
    </rPh>
    <phoneticPr fontId="4"/>
  </si>
  <si>
    <r>
      <t>Ｕ</t>
    </r>
    <r>
      <rPr>
        <vertAlign val="subscript"/>
        <sz val="11"/>
        <rFont val="ＭＳ Ｐゴシック"/>
        <family val="3"/>
        <charset val="128"/>
      </rPr>
      <t>A</t>
    </r>
    <phoneticPr fontId="4"/>
  </si>
  <si>
    <r>
      <t>η</t>
    </r>
    <r>
      <rPr>
        <vertAlign val="subscript"/>
        <sz val="11"/>
        <rFont val="ＭＳ Ｐゴシック"/>
        <family val="3"/>
        <charset val="128"/>
      </rPr>
      <t>AC</t>
    </r>
    <phoneticPr fontId="4"/>
  </si>
  <si>
    <t>-</t>
    <phoneticPr fontId="4"/>
  </si>
  <si>
    <t>Ver3.5</t>
    <phoneticPr fontId="4"/>
  </si>
  <si>
    <t>等級6・7対応</t>
    <rPh sb="0" eb="2">
      <t>トウキュウ</t>
    </rPh>
    <rPh sb="5" eb="7">
      <t>タイオウ</t>
    </rPh>
    <phoneticPr fontId="4"/>
  </si>
  <si>
    <t>入力責任者：</t>
    <phoneticPr fontId="4"/>
  </si>
  <si>
    <t>Ver3.6</t>
    <phoneticPr fontId="4"/>
  </si>
  <si>
    <t>外皮計算書についてのQ&amp;A</t>
    <rPh sb="0" eb="2">
      <t>ガイヒ</t>
    </rPh>
    <rPh sb="2" eb="5">
      <t>ケイサンショ</t>
    </rPh>
    <phoneticPr fontId="4"/>
  </si>
  <si>
    <t>３地域</t>
  </si>
  <si>
    <r>
      <t>※基礎壁は、</t>
    </r>
    <r>
      <rPr>
        <sz val="9"/>
        <color rgb="FFFF0000"/>
        <rFont val="ＭＳ Ｐゴシック"/>
        <family val="3"/>
        <charset val="128"/>
      </rPr>
      <t>こちらに</t>
    </r>
    <r>
      <rPr>
        <sz val="9"/>
        <rFont val="ＭＳ Ｐゴシック"/>
        <family val="3"/>
        <charset val="128"/>
      </rPr>
      <t>入力してください。</t>
    </r>
    <phoneticPr fontId="4"/>
  </si>
  <si>
    <t>共通条件・結果</t>
    <rPh sb="0" eb="2">
      <t>キョウツウ</t>
    </rPh>
    <rPh sb="2" eb="4">
      <t>ジョウケン</t>
    </rPh>
    <rPh sb="5" eb="7">
      <t>ケッカ</t>
    </rPh>
    <phoneticPr fontId="4"/>
  </si>
  <si>
    <t>入力責任者欄追加</t>
    <rPh sb="0" eb="2">
      <t>ニュウリョク</t>
    </rPh>
    <rPh sb="2" eb="5">
      <t>セキニンシャ</t>
    </rPh>
    <rPh sb="5" eb="6">
      <t>ラン</t>
    </rPh>
    <rPh sb="6" eb="8">
      <t>ツイカ</t>
    </rPh>
    <phoneticPr fontId="4"/>
  </si>
  <si>
    <t>省エネ基準明記</t>
    <rPh sb="0" eb="1">
      <t>ショウ</t>
    </rPh>
    <rPh sb="3" eb="5">
      <t>キジュン</t>
    </rPh>
    <rPh sb="5" eb="7">
      <t>メイキ</t>
    </rPh>
    <phoneticPr fontId="4"/>
  </si>
  <si>
    <t>シートA（方位別計算）、【付録】</t>
    <rPh sb="5" eb="7">
      <t>ホウイ</t>
    </rPh>
    <rPh sb="7" eb="8">
      <t>ベツ</t>
    </rPh>
    <rPh sb="8" eb="10">
      <t>ケイサン</t>
    </rPh>
    <rPh sb="13" eb="15">
      <t>フロク</t>
    </rPh>
    <phoneticPr fontId="4"/>
  </si>
  <si>
    <t>基礎壁の入力箇所修正</t>
    <rPh sb="0" eb="2">
      <t>キソ</t>
    </rPh>
    <rPh sb="2" eb="3">
      <t>カベ</t>
    </rPh>
    <rPh sb="4" eb="6">
      <t>ニュウリョク</t>
    </rPh>
    <rPh sb="6" eb="8">
      <t>カショ</t>
    </rPh>
    <rPh sb="8" eb="10">
      <t>シュウセイ</t>
    </rPh>
    <phoneticPr fontId="4"/>
  </si>
  <si>
    <t>4）</t>
    <phoneticPr fontId="4"/>
  </si>
  <si>
    <t>シートC（基礎）</t>
    <rPh sb="5" eb="7">
      <t>キソ</t>
    </rPh>
    <phoneticPr fontId="4"/>
  </si>
  <si>
    <t>旧計算法の廃止時期を明記</t>
    <rPh sb="0" eb="1">
      <t>キュウ</t>
    </rPh>
    <rPh sb="1" eb="3">
      <t>ケイサン</t>
    </rPh>
    <rPh sb="3" eb="4">
      <t>ホウ</t>
    </rPh>
    <rPh sb="5" eb="7">
      <t>ハイシ</t>
    </rPh>
    <rPh sb="7" eb="9">
      <t>ジキ</t>
    </rPh>
    <rPh sb="10" eb="12">
      <t>メイキ</t>
    </rPh>
    <phoneticPr fontId="4"/>
  </si>
  <si>
    <t>5）</t>
    <phoneticPr fontId="4"/>
  </si>
  <si>
    <t>シート名修正、内容修正</t>
    <rPh sb="3" eb="4">
      <t>メイ</t>
    </rPh>
    <rPh sb="4" eb="6">
      <t>シュウセイ</t>
    </rPh>
    <rPh sb="7" eb="9">
      <t>ナイヨウ</t>
    </rPh>
    <rPh sb="9" eb="11">
      <t>シュウセイ</t>
    </rPh>
    <phoneticPr fontId="4"/>
  </si>
  <si>
    <t>6）</t>
    <phoneticPr fontId="4"/>
  </si>
  <si>
    <t>平均熱貫流率小数点以下2位の0を表記</t>
    <rPh sb="0" eb="2">
      <t>ヘイキン</t>
    </rPh>
    <rPh sb="2" eb="3">
      <t>ネツ</t>
    </rPh>
    <rPh sb="3" eb="5">
      <t>カンリュウ</t>
    </rPh>
    <rPh sb="5" eb="6">
      <t>リツ</t>
    </rPh>
    <rPh sb="6" eb="9">
      <t>ショウスウテン</t>
    </rPh>
    <rPh sb="9" eb="11">
      <t>イカ</t>
    </rPh>
    <rPh sb="12" eb="13">
      <t>イ</t>
    </rPh>
    <rPh sb="16" eb="18">
      <t>ヒョウキ</t>
    </rPh>
    <phoneticPr fontId="4"/>
  </si>
  <si>
    <t>窓番号/仕様番号の書式修正</t>
    <rPh sb="0" eb="1">
      <t>マド</t>
    </rPh>
    <rPh sb="1" eb="3">
      <t>バンゴウ</t>
    </rPh>
    <rPh sb="4" eb="6">
      <t>シヨウ</t>
    </rPh>
    <rPh sb="6" eb="8">
      <t>バンゴウ</t>
    </rPh>
    <rPh sb="9" eb="11">
      <t>ショシキ</t>
    </rPh>
    <rPh sb="11" eb="13">
      <t>シュウセイ</t>
    </rPh>
    <phoneticPr fontId="4"/>
  </si>
  <si>
    <t>7）</t>
    <phoneticPr fontId="4"/>
  </si>
  <si>
    <t>　注２：Ｈ１の寸法（基礎高さ）は0.4ｍを上限とし、0.4ｍを超える部分は内訳計算シートAまたはDで計算して下さい。</t>
    <rPh sb="1" eb="2">
      <t>チュウ</t>
    </rPh>
    <rPh sb="7" eb="9">
      <t>スンポウ</t>
    </rPh>
    <rPh sb="10" eb="12">
      <t>キソ</t>
    </rPh>
    <rPh sb="12" eb="13">
      <t>タカ</t>
    </rPh>
    <rPh sb="21" eb="23">
      <t>ジョウゲン</t>
    </rPh>
    <rPh sb="31" eb="32">
      <t>コ</t>
    </rPh>
    <rPh sb="34" eb="36">
      <t>ブブン</t>
    </rPh>
    <rPh sb="37" eb="39">
      <t>ウチワケ</t>
    </rPh>
    <rPh sb="39" eb="41">
      <t>ケイサン</t>
    </rPh>
    <rPh sb="50" eb="52">
      <t>ケイサン</t>
    </rPh>
    <rPh sb="54" eb="55">
      <t>クダ</t>
    </rPh>
    <phoneticPr fontId="4"/>
  </si>
  <si>
    <t>線熱貫流率
[W/(m・K)]</t>
    <rPh sb="0" eb="1">
      <t>セン</t>
    </rPh>
    <rPh sb="1" eb="2">
      <t>ネツ</t>
    </rPh>
    <rPh sb="2" eb="4">
      <t>カンリュウ</t>
    </rPh>
    <rPh sb="4" eb="5">
      <t>リツ</t>
    </rPh>
    <phoneticPr fontId="4"/>
  </si>
  <si>
    <t>3）基礎壁の入力</t>
    <rPh sb="2" eb="4">
      <t>キソ</t>
    </rPh>
    <rPh sb="4" eb="5">
      <t>カベ</t>
    </rPh>
    <rPh sb="6" eb="8">
      <t>ニュウリョク</t>
    </rPh>
    <phoneticPr fontId="4"/>
  </si>
  <si>
    <r>
      <t xml:space="preserve">等級4
</t>
    </r>
    <r>
      <rPr>
        <sz val="8"/>
        <color rgb="FFFF0000"/>
        <rFont val="ＭＳ Ｐゴシック"/>
        <family val="3"/>
        <charset val="128"/>
        <scheme val="major"/>
      </rPr>
      <t>(省エネ基準相当)</t>
    </r>
    <rPh sb="5" eb="6">
      <t>ショウ</t>
    </rPh>
    <rPh sb="8" eb="10">
      <t>キジュン</t>
    </rPh>
    <rPh sb="10" eb="12">
      <t>ソウトウ</t>
    </rPh>
    <phoneticPr fontId="4"/>
  </si>
  <si>
    <r>
      <t xml:space="preserve">等級5
</t>
    </r>
    <r>
      <rPr>
        <sz val="8"/>
        <color rgb="FFFF0000"/>
        <rFont val="ＭＳ Ｐゴシック"/>
        <family val="3"/>
        <charset val="128"/>
      </rPr>
      <t>(誘導基準相当)</t>
    </r>
    <phoneticPr fontId="4"/>
  </si>
  <si>
    <t>等級6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</si>
</sst>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_ "/>
    <numFmt numFmtId="178" formatCode="0.00_ "/>
    <numFmt numFmtId="179" formatCode="0.0_ "/>
    <numFmt numFmtId="180" formatCode="0.00;_̀"/>
    <numFmt numFmtId="181" formatCode="0_);[Red]\(0\)"/>
    <numFmt numFmtId="182" formatCode="0.0_);[Red]\(0.0\)"/>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sz val="11"/>
      <name val="HG丸ｺﾞｼｯｸM-PRO"/>
      <family val="3"/>
      <charset val="128"/>
    </font>
    <font>
      <sz val="9"/>
      <name val="ＭＳ Ｐゴシック"/>
      <family val="3"/>
      <charset val="128"/>
    </font>
    <font>
      <sz val="14"/>
      <name val="HG丸ｺﾞｼｯｸM-PRO"/>
      <family val="3"/>
      <charset val="128"/>
    </font>
    <font>
      <sz val="10"/>
      <name val="ＭＳ 明朝"/>
      <family val="1"/>
      <charset val="128"/>
    </font>
    <font>
      <b/>
      <sz val="14"/>
      <name val="HG丸ｺﾞｼｯｸM-PRO"/>
      <family val="3"/>
      <charset val="128"/>
    </font>
    <font>
      <sz val="9.5"/>
      <name val="ＭＳ Ｐゴシック"/>
      <family val="3"/>
      <charset val="128"/>
    </font>
    <font>
      <sz val="8"/>
      <name val="ＭＳ Ｐゴシック"/>
      <family val="3"/>
      <charset val="128"/>
    </font>
    <font>
      <sz val="10"/>
      <name val="ＭＳ Ｐゴシック"/>
      <family val="3"/>
      <charset val="128"/>
      <scheme val="major"/>
    </font>
    <font>
      <sz val="12"/>
      <color rgb="FFFF0000"/>
      <name val="HG丸ｺﾞｼｯｸM-PRO"/>
      <family val="3"/>
      <charset val="128"/>
    </font>
    <font>
      <sz val="10"/>
      <name val="ＭＳ Ｐゴシック"/>
      <family val="3"/>
      <charset val="128"/>
      <scheme val="minor"/>
    </font>
    <font>
      <sz val="9"/>
      <color theme="1"/>
      <name val="ＭＳ Ｐゴシック"/>
      <family val="3"/>
      <charset val="128"/>
    </font>
    <font>
      <sz val="11"/>
      <name val="ＭＳ Ｐゴシック"/>
      <family val="3"/>
      <charset val="128"/>
      <scheme val="minor"/>
    </font>
    <font>
      <sz val="9"/>
      <color indexed="81"/>
      <name val="ＭＳ Ｐゴシック"/>
      <family val="3"/>
      <charset val="128"/>
    </font>
    <font>
      <sz val="11"/>
      <color theme="1"/>
      <name val="ＭＳ Ｐゴシック"/>
      <family val="3"/>
      <charset val="128"/>
      <scheme val="minor"/>
    </font>
    <font>
      <vertAlign val="subscript"/>
      <sz val="9"/>
      <name val="ＭＳ Ｐゴシック"/>
      <family val="3"/>
      <charset val="128"/>
    </font>
    <font>
      <vertAlign val="subscript"/>
      <sz val="10"/>
      <name val="ＭＳ Ｐゴシック"/>
      <family val="3"/>
      <charset val="128"/>
    </font>
    <font>
      <b/>
      <sz val="11"/>
      <name val="ＭＳ Ｐゴシック"/>
      <family val="3"/>
      <charset val="128"/>
    </font>
    <font>
      <b/>
      <sz val="14"/>
      <color theme="1"/>
      <name val="ＭＳ Ｐゴシック"/>
      <family val="3"/>
      <charset val="128"/>
      <scheme val="minor"/>
    </font>
    <font>
      <b/>
      <sz val="1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vertAlign val="superscript"/>
      <sz val="9"/>
      <color rgb="FFFF0000"/>
      <name val="ＭＳ Ｐゴシック"/>
      <family val="3"/>
      <charset val="128"/>
      <scheme val="minor"/>
    </font>
    <font>
      <b/>
      <sz val="10"/>
      <color rgb="FF00B0F0"/>
      <name val="ＭＳ Ｐゴシック"/>
      <family val="3"/>
      <charset val="128"/>
      <scheme val="minor"/>
    </font>
    <font>
      <vertAlign val="subscript"/>
      <sz val="9"/>
      <color rgb="FFFF0000"/>
      <name val="ＭＳ Ｐゴシック"/>
      <family val="3"/>
      <charset val="128"/>
      <scheme val="minor"/>
    </font>
    <font>
      <sz val="9"/>
      <name val="ＭＳ Ｐゴシック"/>
      <family val="3"/>
      <charset val="128"/>
      <scheme val="minor"/>
    </font>
    <font>
      <vertAlign val="subscript"/>
      <sz val="10"/>
      <color indexed="8"/>
      <name val="ＭＳ Ｐゴシック"/>
      <family val="3"/>
      <charset val="128"/>
    </font>
    <font>
      <sz val="10"/>
      <color indexed="8"/>
      <name val="ＭＳ Ｐゴシック"/>
      <family val="3"/>
      <charset val="128"/>
    </font>
    <font>
      <sz val="8"/>
      <color theme="1"/>
      <name val="ＭＳ Ｐゴシック"/>
      <family val="3"/>
      <charset val="128"/>
      <scheme val="minor"/>
    </font>
    <font>
      <b/>
      <sz val="11"/>
      <color theme="1"/>
      <name val="ＭＳ Ｐゴシック"/>
      <family val="3"/>
      <charset val="128"/>
      <scheme val="minor"/>
    </font>
    <font>
      <u/>
      <sz val="11"/>
      <name val="ＭＳ Ｐゴシック"/>
      <family val="3"/>
      <charset val="128"/>
    </font>
    <font>
      <sz val="10"/>
      <color theme="1"/>
      <name val="ＭＳ Ｐゴシック"/>
      <family val="3"/>
      <charset val="128"/>
    </font>
    <font>
      <sz val="10"/>
      <color theme="0"/>
      <name val="ＭＳ Ｐゴシック"/>
      <family val="3"/>
      <charset val="128"/>
    </font>
    <font>
      <sz val="10"/>
      <name val="HGPｺﾞｼｯｸM"/>
      <family val="3"/>
      <charset val="128"/>
    </font>
    <font>
      <sz val="10"/>
      <color theme="0" tint="-0.499984740745262"/>
      <name val="HGPｺﾞｼｯｸM"/>
      <family val="3"/>
      <charset val="128"/>
    </font>
    <font>
      <sz val="9"/>
      <color theme="0" tint="-0.499984740745262"/>
      <name val="HG丸ｺﾞｼｯｸM-PRO"/>
      <family val="3"/>
      <charset val="128"/>
    </font>
    <font>
      <b/>
      <sz val="12"/>
      <name val="ＭＳ Ｐゴシック"/>
      <family val="3"/>
      <charset val="128"/>
    </font>
    <font>
      <b/>
      <sz val="12"/>
      <color rgb="FFFF0000"/>
      <name val="ＭＳ Ｐゴシック"/>
      <family val="3"/>
      <charset val="128"/>
    </font>
    <font>
      <sz val="6"/>
      <name val="ＭＳ Ｐゴシック"/>
      <family val="3"/>
      <charset val="128"/>
      <scheme val="minor"/>
    </font>
    <font>
      <sz val="12"/>
      <color rgb="FFFF0000"/>
      <name val="ＭＳ Ｐゴシック"/>
      <family val="3"/>
      <charset val="128"/>
    </font>
    <font>
      <b/>
      <sz val="10"/>
      <name val="HG丸ｺﾞｼｯｸM-PRO"/>
      <family val="3"/>
      <charset val="128"/>
    </font>
    <font>
      <b/>
      <sz val="10"/>
      <color rgb="FFFF0000"/>
      <name val="ＭＳ Ｐゴシック"/>
      <family val="3"/>
      <charset val="128"/>
    </font>
    <font>
      <sz val="10"/>
      <color rgb="FFFF0000"/>
      <name val="ＭＳ Ｐゴシック"/>
      <family val="3"/>
      <charset val="128"/>
    </font>
    <font>
      <b/>
      <sz val="10"/>
      <color rgb="FFFF0000"/>
      <name val="HG丸ｺﾞｼｯｸM-PRO"/>
      <family val="3"/>
      <charset val="128"/>
    </font>
    <font>
      <vertAlign val="subscript"/>
      <sz val="11"/>
      <name val="ＭＳ Ｐゴシック"/>
      <family val="3"/>
      <charset val="128"/>
    </font>
    <font>
      <sz val="11"/>
      <color theme="0" tint="-0.249977111117893"/>
      <name val="ＭＳ Ｐゴシック"/>
      <family val="3"/>
      <charset val="128"/>
    </font>
    <font>
      <sz val="9"/>
      <color rgb="FF000000"/>
      <name val="MS UI Gothic"/>
      <family val="3"/>
      <charset val="128"/>
    </font>
    <font>
      <sz val="9"/>
      <color rgb="FFFF0000"/>
      <name val="ＭＳ Ｐゴシック"/>
      <family val="3"/>
      <charset val="128"/>
    </font>
    <font>
      <sz val="8"/>
      <color rgb="FFFF0000"/>
      <name val="ＭＳ Ｐゴシック"/>
      <family val="3"/>
      <charset val="128"/>
      <scheme val="major"/>
    </font>
    <font>
      <sz val="8"/>
      <color rgb="FFFF0000"/>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66"/>
        <bgColor indexed="64"/>
      </patternFill>
    </fill>
    <fill>
      <patternFill patternType="solid">
        <fgColor rgb="FFFFFFCC"/>
        <bgColor indexed="64"/>
      </patternFill>
    </fill>
    <fill>
      <patternFill patternType="solid">
        <fgColor rgb="FFFFC000"/>
        <bgColor indexed="64"/>
      </patternFill>
    </fill>
  </fills>
  <borders count="161">
    <border>
      <left/>
      <right/>
      <top/>
      <bottom/>
      <diagonal/>
    </border>
    <border>
      <left style="hair">
        <color indexed="64"/>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diagonal/>
    </border>
    <border>
      <left style="thin">
        <color indexed="64"/>
      </left>
      <right style="thin">
        <color indexed="64"/>
      </right>
      <top style="thin">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hair">
        <color indexed="64"/>
      </left>
      <right/>
      <top/>
      <bottom style="hair">
        <color indexed="64"/>
      </bottom>
      <diagonal/>
    </border>
    <border>
      <left/>
      <right/>
      <top/>
      <bottom style="hair">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xf numFmtId="38" fontId="3" fillId="0" borderId="0" applyFont="0" applyFill="0" applyBorder="0" applyAlignment="0" applyProtection="0"/>
    <xf numFmtId="0" fontId="13" fillId="0" borderId="0"/>
    <xf numFmtId="0" fontId="23"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cellStyleXfs>
  <cellXfs count="798">
    <xf numFmtId="0" fontId="0" fillId="0" borderId="0" xfId="0"/>
    <xf numFmtId="0" fontId="0" fillId="0" borderId="0" xfId="0" applyAlignment="1">
      <alignment vertical="center"/>
    </xf>
    <xf numFmtId="0" fontId="5" fillId="0" borderId="0" xfId="0" applyFont="1" applyAlignment="1">
      <alignment vertical="center"/>
    </xf>
    <xf numFmtId="0" fontId="5" fillId="0" borderId="0" xfId="0" applyFont="1"/>
    <xf numFmtId="0" fontId="10"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1" fillId="0" borderId="9" xfId="0" applyFont="1" applyBorder="1" applyAlignment="1">
      <alignment horizontal="right" vertical="center"/>
    </xf>
    <xf numFmtId="0" fontId="11" fillId="0" borderId="8" xfId="0" applyFont="1" applyBorder="1" applyAlignment="1">
      <alignment vertical="center"/>
    </xf>
    <xf numFmtId="2" fontId="10" fillId="0" borderId="0" xfId="0" applyNumberFormat="1" applyFont="1" applyAlignment="1">
      <alignment horizontal="center" vertical="center"/>
    </xf>
    <xf numFmtId="0" fontId="11" fillId="0" borderId="16" xfId="0" applyFont="1" applyBorder="1" applyAlignment="1">
      <alignment vertical="center"/>
    </xf>
    <xf numFmtId="0" fontId="5" fillId="0" borderId="0" xfId="0" applyFont="1" applyAlignment="1">
      <alignment horizontal="center" vertical="center"/>
    </xf>
    <xf numFmtId="0" fontId="5" fillId="0" borderId="0" xfId="0" applyFont="1" applyAlignment="1" applyProtection="1">
      <alignment vertical="center"/>
      <protection locked="0"/>
    </xf>
    <xf numFmtId="0" fontId="11" fillId="0" borderId="6"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179" fontId="5" fillId="0" borderId="0" xfId="0" applyNumberFormat="1" applyFont="1" applyAlignment="1">
      <alignment vertical="center"/>
    </xf>
    <xf numFmtId="179" fontId="5" fillId="0" borderId="0" xfId="0" applyNumberFormat="1" applyFont="1"/>
    <xf numFmtId="0" fontId="10" fillId="0" borderId="0" xfId="0" applyFont="1" applyAlignment="1">
      <alignment horizontal="center" vertical="center"/>
    </xf>
    <xf numFmtId="178" fontId="5" fillId="0" borderId="0" xfId="0" applyNumberFormat="1" applyFont="1" applyAlignment="1">
      <alignment horizontal="center" vertical="center"/>
    </xf>
    <xf numFmtId="178" fontId="5" fillId="0" borderId="0" xfId="0" applyNumberFormat="1" applyFont="1" applyAlignment="1">
      <alignment vertical="center"/>
    </xf>
    <xf numFmtId="0" fontId="10" fillId="0" borderId="0" xfId="0" applyFont="1" applyAlignment="1">
      <alignment horizontal="left" vertical="center"/>
    </xf>
    <xf numFmtId="0" fontId="0" fillId="0" borderId="25" xfId="0" applyBorder="1"/>
    <xf numFmtId="177" fontId="0" fillId="0" borderId="25" xfId="0" applyNumberFormat="1" applyBorder="1" applyAlignment="1">
      <alignment horizontal="center" vertical="center"/>
    </xf>
    <xf numFmtId="0" fontId="0" fillId="0" borderId="40" xfId="0" applyBorder="1"/>
    <xf numFmtId="177" fontId="0" fillId="0" borderId="25" xfId="0" applyNumberFormat="1" applyBorder="1"/>
    <xf numFmtId="0" fontId="0" fillId="0" borderId="8" xfId="0" applyBorder="1"/>
    <xf numFmtId="0" fontId="0" fillId="0" borderId="4" xfId="0" applyBorder="1"/>
    <xf numFmtId="0" fontId="0" fillId="0" borderId="7" xfId="0" applyBorder="1"/>
    <xf numFmtId="0" fontId="0" fillId="0" borderId="0" xfId="0" applyAlignment="1">
      <alignment vertical="center" wrapText="1"/>
    </xf>
    <xf numFmtId="0" fontId="11" fillId="0" borderId="2" xfId="0" applyFont="1" applyBorder="1" applyAlignment="1">
      <alignment vertical="center"/>
    </xf>
    <xf numFmtId="178" fontId="5" fillId="0" borderId="7" xfId="0" applyNumberFormat="1" applyFont="1" applyBorder="1" applyAlignment="1">
      <alignment vertical="center"/>
    </xf>
    <xf numFmtId="0" fontId="16" fillId="0" borderId="0" xfId="0" applyFont="1" applyAlignment="1">
      <alignment vertical="center"/>
    </xf>
    <xf numFmtId="0" fontId="5" fillId="0" borderId="38"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39" xfId="0" applyFont="1" applyBorder="1" applyAlignment="1">
      <alignment vertical="center"/>
    </xf>
    <xf numFmtId="0" fontId="0" fillId="0" borderId="0" xfId="0" applyProtection="1">
      <protection locked="0"/>
    </xf>
    <xf numFmtId="0" fontId="11" fillId="0" borderId="7" xfId="0" applyFont="1" applyBorder="1" applyAlignment="1">
      <alignment vertical="center"/>
    </xf>
    <xf numFmtId="2" fontId="8" fillId="0" borderId="0" xfId="0" applyNumberFormat="1" applyFont="1" applyAlignment="1">
      <alignment horizontal="center" vertical="center"/>
    </xf>
    <xf numFmtId="0" fontId="26" fillId="0" borderId="0" xfId="0" applyFont="1"/>
    <xf numFmtId="0" fontId="27" fillId="0" borderId="0" xfId="3" applyFont="1">
      <alignment vertical="center"/>
    </xf>
    <xf numFmtId="0" fontId="23" fillId="0" borderId="0" xfId="3">
      <alignment vertical="center"/>
    </xf>
    <xf numFmtId="31" fontId="23" fillId="0" borderId="0" xfId="3" applyNumberFormat="1">
      <alignment vertical="center"/>
    </xf>
    <xf numFmtId="0" fontId="23" fillId="0" borderId="54" xfId="3" applyBorder="1">
      <alignment vertical="center"/>
    </xf>
    <xf numFmtId="0" fontId="23" fillId="0" borderId="41" xfId="3" applyBorder="1">
      <alignment vertical="center"/>
    </xf>
    <xf numFmtId="0" fontId="23" fillId="0" borderId="47" xfId="3" applyBorder="1">
      <alignment vertical="center"/>
    </xf>
    <xf numFmtId="0" fontId="23" fillId="0" borderId="60" xfId="3" applyBorder="1">
      <alignment vertical="center"/>
    </xf>
    <xf numFmtId="0" fontId="28" fillId="0" borderId="60" xfId="3" applyFont="1" applyBorder="1">
      <alignment vertical="center"/>
    </xf>
    <xf numFmtId="0" fontId="21" fillId="0" borderId="0" xfId="3" applyFont="1">
      <alignment vertical="center"/>
    </xf>
    <xf numFmtId="0" fontId="23" fillId="0" borderId="61" xfId="3" applyBorder="1">
      <alignment vertical="center"/>
    </xf>
    <xf numFmtId="0" fontId="29" fillId="0" borderId="0" xfId="3" applyFont="1">
      <alignment vertical="center"/>
    </xf>
    <xf numFmtId="0" fontId="30" fillId="0" borderId="60" xfId="3" applyFont="1" applyBorder="1">
      <alignment vertical="center"/>
    </xf>
    <xf numFmtId="0" fontId="32" fillId="0" borderId="0" xfId="3" applyFont="1">
      <alignment vertical="center"/>
    </xf>
    <xf numFmtId="0" fontId="34" fillId="0" borderId="126" xfId="3" applyFont="1" applyBorder="1">
      <alignment vertical="center"/>
    </xf>
    <xf numFmtId="0" fontId="23" fillId="0" borderId="16" xfId="3" applyBorder="1">
      <alignment vertical="center"/>
    </xf>
    <xf numFmtId="0" fontId="23" fillId="0" borderId="127" xfId="3" applyBorder="1">
      <alignment vertical="center"/>
    </xf>
    <xf numFmtId="0" fontId="34" fillId="0" borderId="0" xfId="3" applyFont="1">
      <alignment vertical="center"/>
    </xf>
    <xf numFmtId="0" fontId="29" fillId="0" borderId="112" xfId="3" applyFont="1" applyBorder="1" applyAlignment="1">
      <alignment horizontal="center" vertical="center"/>
    </xf>
    <xf numFmtId="0" fontId="29" fillId="0" borderId="112" xfId="3" applyFont="1" applyBorder="1" applyAlignment="1">
      <alignment horizontal="center" vertical="center" shrinkToFit="1"/>
    </xf>
    <xf numFmtId="0" fontId="37" fillId="0" borderId="19" xfId="3" applyFont="1" applyBorder="1" applyAlignment="1">
      <alignment horizontal="center" vertical="center"/>
    </xf>
    <xf numFmtId="0" fontId="29" fillId="0" borderId="19" xfId="3" applyFont="1" applyBorder="1" applyAlignment="1">
      <alignment horizontal="center" vertical="center"/>
    </xf>
    <xf numFmtId="0" fontId="23" fillId="0" borderId="112" xfId="3" applyBorder="1">
      <alignment vertical="center"/>
    </xf>
    <xf numFmtId="0" fontId="23" fillId="0" borderId="19" xfId="3" applyBorder="1">
      <alignment vertical="center"/>
    </xf>
    <xf numFmtId="0" fontId="29" fillId="0" borderId="0" xfId="3" applyFont="1" applyAlignment="1">
      <alignment horizontal="center" vertical="center"/>
    </xf>
    <xf numFmtId="0" fontId="38" fillId="0" borderId="0" xfId="3" applyFont="1">
      <alignment vertical="center"/>
    </xf>
    <xf numFmtId="0" fontId="23" fillId="0" borderId="36" xfId="3" applyBorder="1">
      <alignment vertical="center"/>
    </xf>
    <xf numFmtId="0" fontId="29" fillId="0" borderId="36" xfId="3" applyFont="1" applyBorder="1" applyAlignment="1">
      <alignment horizontal="center" vertical="center"/>
    </xf>
    <xf numFmtId="0" fontId="8" fillId="0" borderId="0" xfId="1" applyNumberFormat="1" applyFont="1" applyFill="1" applyBorder="1" applyAlignment="1" applyProtection="1">
      <alignment vertical="center"/>
    </xf>
    <xf numFmtId="0" fontId="5" fillId="0" borderId="28" xfId="0" applyFont="1" applyBorder="1" applyAlignment="1">
      <alignment vertical="center"/>
    </xf>
    <xf numFmtId="0" fontId="5" fillId="0" borderId="9" xfId="0" applyFont="1" applyBorder="1" applyAlignment="1">
      <alignment vertical="center"/>
    </xf>
    <xf numFmtId="0" fontId="10" fillId="0" borderId="9" xfId="0" applyFont="1" applyBorder="1" applyAlignment="1">
      <alignment vertical="center"/>
    </xf>
    <xf numFmtId="0" fontId="11" fillId="0" borderId="0" xfId="0" applyFont="1" applyAlignment="1">
      <alignment vertical="center"/>
    </xf>
    <xf numFmtId="2" fontId="8" fillId="0" borderId="0" xfId="1" applyNumberFormat="1" applyFont="1" applyBorder="1" applyAlignment="1" applyProtection="1">
      <alignment horizontal="right" vertical="center"/>
    </xf>
    <xf numFmtId="2" fontId="0" fillId="0" borderId="0" xfId="1" applyNumberFormat="1" applyFont="1" applyBorder="1" applyProtection="1"/>
    <xf numFmtId="0" fontId="11" fillId="0" borderId="0" xfId="0" applyFont="1" applyAlignment="1">
      <alignment horizontal="lef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 xfId="0" applyFont="1" applyBorder="1" applyAlignment="1">
      <alignment vertical="center"/>
    </xf>
    <xf numFmtId="0" fontId="5" fillId="0" borderId="14" xfId="0" applyFont="1" applyBorder="1" applyAlignment="1">
      <alignment vertical="center"/>
    </xf>
    <xf numFmtId="0" fontId="5" fillId="0" borderId="130" xfId="0" applyFont="1" applyBorder="1" applyAlignment="1">
      <alignment vertical="center"/>
    </xf>
    <xf numFmtId="0" fontId="5" fillId="0" borderId="131" xfId="0" applyFont="1" applyBorder="1" applyAlignment="1">
      <alignment vertical="center"/>
    </xf>
    <xf numFmtId="0" fontId="5" fillId="0" borderId="125" xfId="0" applyFont="1" applyBorder="1" applyAlignment="1">
      <alignment vertical="center"/>
    </xf>
    <xf numFmtId="0" fontId="5" fillId="0" borderId="0" xfId="0" applyFont="1" applyAlignment="1">
      <alignment horizontal="left" vertical="center"/>
    </xf>
    <xf numFmtId="180" fontId="5" fillId="0" borderId="0" xfId="0" applyNumberFormat="1" applyFont="1" applyAlignment="1">
      <alignment horizontal="center" vertical="center"/>
    </xf>
    <xf numFmtId="20" fontId="5" fillId="0" borderId="0" xfId="0" applyNumberFormat="1" applyFont="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181" fontId="5" fillId="0" borderId="0" xfId="0" applyNumberFormat="1" applyFont="1" applyAlignment="1">
      <alignment vertical="center"/>
    </xf>
    <xf numFmtId="0" fontId="5" fillId="0" borderId="16" xfId="0" applyFont="1" applyBorder="1" applyAlignment="1">
      <alignment vertical="center"/>
    </xf>
    <xf numFmtId="178" fontId="5" fillId="0" borderId="136" xfId="0" applyNumberFormat="1" applyFont="1" applyBorder="1" applyAlignment="1">
      <alignment horizontal="center" vertical="center"/>
    </xf>
    <xf numFmtId="178" fontId="5" fillId="0" borderId="16" xfId="0" applyNumberFormat="1" applyFont="1" applyBorder="1" applyAlignment="1">
      <alignment horizontal="center" vertical="center"/>
    </xf>
    <xf numFmtId="0" fontId="11" fillId="0" borderId="0" xfId="0" applyFont="1" applyAlignment="1">
      <alignment horizontal="right" vertical="center"/>
    </xf>
    <xf numFmtId="178" fontId="20" fillId="3" borderId="16" xfId="0" applyNumberFormat="1" applyFont="1" applyFill="1" applyBorder="1" applyAlignment="1">
      <alignment horizontal="center" vertical="center"/>
    </xf>
    <xf numFmtId="178" fontId="11" fillId="0" borderId="16" xfId="0" applyNumberFormat="1" applyFont="1" applyBorder="1" applyAlignment="1">
      <alignment horizontal="center" vertical="center"/>
    </xf>
    <xf numFmtId="0" fontId="11" fillId="0" borderId="4" xfId="0" applyFont="1" applyBorder="1" applyAlignment="1">
      <alignment horizontal="right" vertical="center"/>
    </xf>
    <xf numFmtId="0" fontId="5" fillId="0" borderId="137" xfId="0" applyFont="1" applyBorder="1" applyAlignment="1">
      <alignment vertical="center"/>
    </xf>
    <xf numFmtId="0" fontId="11" fillId="0" borderId="9" xfId="0" applyFont="1" applyBorder="1" applyAlignment="1">
      <alignment vertical="top"/>
    </xf>
    <xf numFmtId="0" fontId="5" fillId="0" borderId="0" xfId="0" applyFont="1" applyAlignment="1">
      <alignment horizontal="center" vertical="center" wrapText="1"/>
    </xf>
    <xf numFmtId="0" fontId="5" fillId="0" borderId="25" xfId="0" applyFont="1" applyBorder="1" applyAlignment="1">
      <alignment horizontal="center" vertical="center"/>
    </xf>
    <xf numFmtId="0" fontId="5" fillId="0" borderId="143" xfId="0" applyFont="1" applyBorder="1" applyAlignment="1">
      <alignment horizontal="center" vertical="center" wrapText="1"/>
    </xf>
    <xf numFmtId="0" fontId="5" fillId="0" borderId="144" xfId="0" applyFont="1" applyBorder="1" applyAlignment="1">
      <alignment horizontal="center" vertical="center" wrapText="1"/>
    </xf>
    <xf numFmtId="0" fontId="5" fillId="0" borderId="14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right" vertical="center"/>
    </xf>
    <xf numFmtId="0" fontId="8" fillId="0" borderId="7" xfId="0" applyFont="1" applyBorder="1" applyAlignment="1">
      <alignment vertical="center"/>
    </xf>
    <xf numFmtId="0" fontId="8" fillId="0" borderId="45" xfId="0" applyFont="1" applyBorder="1" applyAlignment="1">
      <alignment vertical="center"/>
    </xf>
    <xf numFmtId="0" fontId="5" fillId="0" borderId="0" xfId="0" applyFont="1" applyAlignment="1" applyProtection="1">
      <alignment horizontal="center" vertical="center"/>
      <protection locked="0"/>
    </xf>
    <xf numFmtId="0" fontId="3" fillId="0" borderId="0" xfId="5" applyAlignment="1">
      <alignment vertical="center"/>
    </xf>
    <xf numFmtId="0" fontId="10" fillId="0" borderId="0" xfId="5" applyFont="1" applyAlignment="1">
      <alignment vertical="center"/>
    </xf>
    <xf numFmtId="0" fontId="5" fillId="0" borderId="0" xfId="5" applyFont="1" applyAlignment="1">
      <alignment vertical="center"/>
    </xf>
    <xf numFmtId="0" fontId="5" fillId="0" borderId="25" xfId="5" applyFont="1" applyBorder="1" applyAlignment="1">
      <alignment horizontal="center" vertical="center"/>
    </xf>
    <xf numFmtId="0" fontId="40" fillId="0" borderId="25" xfId="5" quotePrefix="1" applyFont="1" applyBorder="1" applyAlignment="1">
      <alignment horizontal="center" vertical="center"/>
    </xf>
    <xf numFmtId="0" fontId="40" fillId="0" borderId="25" xfId="5" applyFont="1"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50" fillId="0" borderId="0" xfId="0" applyFont="1" applyAlignment="1">
      <alignment vertical="top"/>
    </xf>
    <xf numFmtId="0" fontId="51" fillId="2" borderId="25" xfId="0" applyFont="1" applyFill="1" applyBorder="1" applyAlignment="1">
      <alignment vertical="center"/>
    </xf>
    <xf numFmtId="0" fontId="51" fillId="2" borderId="49" xfId="0" applyFont="1" applyFill="1" applyBorder="1" applyAlignment="1">
      <alignment vertical="center"/>
    </xf>
    <xf numFmtId="0" fontId="51" fillId="0" borderId="0" xfId="0" applyFont="1"/>
    <xf numFmtId="0" fontId="41" fillId="0" borderId="0" xfId="0" applyFont="1" applyAlignment="1">
      <alignment vertical="center"/>
    </xf>
    <xf numFmtId="0" fontId="43" fillId="0" borderId="0" xfId="6" applyFont="1" applyAlignment="1">
      <alignment horizontal="center" vertical="center"/>
    </xf>
    <xf numFmtId="0" fontId="40" fillId="0" borderId="0" xfId="0" quotePrefix="1" applyFont="1" applyAlignment="1">
      <alignment horizontal="center" vertical="center"/>
    </xf>
    <xf numFmtId="0" fontId="40" fillId="0" borderId="0" xfId="0" applyFont="1" applyAlignment="1">
      <alignment horizontal="center" vertical="center"/>
    </xf>
    <xf numFmtId="0" fontId="42" fillId="0" borderId="0" xfId="6" applyFont="1" applyAlignment="1">
      <alignment horizontal="center" vertical="center"/>
    </xf>
    <xf numFmtId="0" fontId="44" fillId="0" borderId="142" xfId="7" applyFont="1" applyBorder="1" applyAlignment="1">
      <alignment horizontal="center" vertical="center"/>
    </xf>
    <xf numFmtId="0" fontId="51" fillId="0" borderId="0" xfId="0" applyFont="1" applyAlignment="1">
      <alignment vertical="center"/>
    </xf>
    <xf numFmtId="0" fontId="5" fillId="4" borderId="40" xfId="0" applyFont="1" applyFill="1" applyBorder="1" applyAlignment="1">
      <alignment horizontal="center" vertical="center"/>
    </xf>
    <xf numFmtId="0" fontId="5" fillId="4" borderId="49" xfId="0" applyFont="1" applyFill="1" applyBorder="1" applyAlignment="1">
      <alignment horizontal="center" vertical="center"/>
    </xf>
    <xf numFmtId="178" fontId="0" fillId="0" borderId="25" xfId="0" applyNumberFormat="1" applyBorder="1" applyAlignment="1">
      <alignment horizontal="center" vertical="center"/>
    </xf>
    <xf numFmtId="0" fontId="54" fillId="0" borderId="40" xfId="0" applyFont="1" applyBorder="1" applyAlignment="1">
      <alignment horizontal="center" vertical="center"/>
    </xf>
    <xf numFmtId="178" fontId="54" fillId="0" borderId="25" xfId="0" applyNumberFormat="1" applyFont="1" applyBorder="1" applyAlignment="1">
      <alignment horizontal="center" vertical="center"/>
    </xf>
    <xf numFmtId="176" fontId="54" fillId="0" borderId="25" xfId="0" applyNumberFormat="1" applyFont="1" applyBorder="1" applyAlignment="1">
      <alignment horizontal="center" vertical="center"/>
    </xf>
    <xf numFmtId="0" fontId="54" fillId="0" borderId="25" xfId="0" applyFont="1" applyBorder="1" applyAlignment="1">
      <alignment horizontal="center" vertical="center"/>
    </xf>
    <xf numFmtId="0" fontId="0" fillId="0" borderId="25" xfId="0" applyBorder="1" applyAlignment="1" applyProtection="1">
      <alignment horizontal="center" vertical="center"/>
      <protection locked="0"/>
    </xf>
    <xf numFmtId="182" fontId="0" fillId="0" borderId="25" xfId="0" applyNumberFormat="1" applyBorder="1" applyAlignment="1">
      <alignment horizontal="center" vertical="center"/>
    </xf>
    <xf numFmtId="0" fontId="0" fillId="0" borderId="25" xfId="0" applyBorder="1" applyAlignment="1">
      <alignment vertical="center"/>
    </xf>
    <xf numFmtId="0" fontId="5" fillId="0" borderId="40" xfId="0" applyFont="1" applyBorder="1" applyAlignment="1">
      <alignment horizontal="center" vertical="center" wrapText="1"/>
    </xf>
    <xf numFmtId="0" fontId="5" fillId="0" borderId="144" xfId="0" applyFont="1" applyBorder="1" applyAlignment="1">
      <alignment vertical="center" wrapText="1"/>
    </xf>
    <xf numFmtId="0" fontId="5" fillId="0" borderId="49" xfId="0" applyFont="1" applyBorder="1" applyAlignment="1">
      <alignment vertical="center" wrapText="1"/>
    </xf>
    <xf numFmtId="14" fontId="5" fillId="0" borderId="49" xfId="0" applyNumberFormat="1" applyFont="1" applyBorder="1" applyAlignment="1">
      <alignment horizontal="center" vertical="center" wrapText="1"/>
    </xf>
    <xf numFmtId="0" fontId="0" fillId="0" borderId="40" xfId="0" applyBorder="1" applyAlignment="1">
      <alignment horizontal="center" vertical="center"/>
    </xf>
    <xf numFmtId="0" fontId="5" fillId="0" borderId="40" xfId="0" applyFont="1" applyBorder="1" applyAlignment="1" applyProtection="1">
      <alignment horizontal="center" vertical="center"/>
      <protection locked="0"/>
    </xf>
    <xf numFmtId="0" fontId="5" fillId="0" borderId="25" xfId="0" applyFont="1" applyBorder="1" applyAlignment="1">
      <alignment vertical="center"/>
    </xf>
    <xf numFmtId="0" fontId="0" fillId="0" borderId="25" xfId="0" applyBorder="1" applyProtection="1">
      <protection locked="0"/>
    </xf>
    <xf numFmtId="0" fontId="5" fillId="2" borderId="81" xfId="0" applyFont="1" applyFill="1" applyBorder="1" applyAlignment="1">
      <alignment vertical="center"/>
    </xf>
    <xf numFmtId="0" fontId="8" fillId="2" borderId="121" xfId="0" applyFont="1" applyFill="1" applyBorder="1" applyAlignment="1">
      <alignment vertical="center"/>
    </xf>
    <xf numFmtId="0" fontId="8" fillId="2" borderId="82" xfId="0" applyFont="1" applyFill="1" applyBorder="1" applyAlignment="1">
      <alignment vertical="center"/>
    </xf>
    <xf numFmtId="14" fontId="5" fillId="0" borderId="25" xfId="0" applyNumberFormat="1" applyFont="1" applyBorder="1" applyAlignment="1">
      <alignment horizontal="center" vertical="center" wrapText="1"/>
    </xf>
    <xf numFmtId="0" fontId="10" fillId="0" borderId="0" xfId="0" applyFont="1" applyAlignment="1">
      <alignment horizontal="right" vertical="center"/>
    </xf>
    <xf numFmtId="0" fontId="5" fillId="0" borderId="66"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6" xfId="0" applyFont="1" applyBorder="1" applyAlignment="1">
      <alignment vertical="center" wrapText="1"/>
    </xf>
    <xf numFmtId="0" fontId="5" fillId="0" borderId="66" xfId="0" applyFont="1" applyBorder="1" applyAlignment="1">
      <alignment vertical="center" wrapText="1"/>
    </xf>
    <xf numFmtId="0" fontId="5" fillId="0" borderId="157" xfId="0" applyFont="1" applyBorder="1" applyAlignment="1">
      <alignment horizontal="center" vertical="center" wrapText="1"/>
    </xf>
    <xf numFmtId="0" fontId="5" fillId="0" borderId="157" xfId="0" applyFont="1" applyBorder="1" applyAlignment="1">
      <alignment vertical="center" wrapText="1"/>
    </xf>
    <xf numFmtId="0" fontId="11" fillId="0" borderId="8" xfId="0" applyFont="1" applyBorder="1" applyAlignment="1">
      <alignment horizontal="center" vertical="center"/>
    </xf>
    <xf numFmtId="0" fontId="11" fillId="0" borderId="48" xfId="0" applyFont="1" applyBorder="1" applyAlignment="1">
      <alignment horizontal="center" vertical="center"/>
    </xf>
    <xf numFmtId="178" fontId="8" fillId="0" borderId="29" xfId="0" applyNumberFormat="1" applyFont="1" applyBorder="1" applyAlignment="1">
      <alignment horizontal="right" vertical="center"/>
    </xf>
    <xf numFmtId="178" fontId="8" fillId="0" borderId="8" xfId="0" applyNumberFormat="1" applyFont="1" applyBorder="1" applyAlignment="1">
      <alignment horizontal="right"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128" xfId="0" applyFont="1" applyBorder="1" applyAlignment="1">
      <alignment vertical="center"/>
    </xf>
    <xf numFmtId="0" fontId="5" fillId="0" borderId="42" xfId="0" applyFont="1" applyBorder="1" applyAlignment="1">
      <alignment vertical="center"/>
    </xf>
    <xf numFmtId="0" fontId="5" fillId="0" borderId="9" xfId="0" applyFont="1" applyBorder="1" applyAlignment="1">
      <alignment vertical="center"/>
    </xf>
    <xf numFmtId="0" fontId="5" fillId="0" borderId="27" xfId="0" applyFont="1" applyBorder="1" applyAlignment="1">
      <alignment vertical="center"/>
    </xf>
    <xf numFmtId="0" fontId="11" fillId="0" borderId="15" xfId="0" applyFont="1" applyBorder="1" applyAlignment="1">
      <alignment horizontal="center" vertical="center"/>
    </xf>
    <xf numFmtId="0" fontId="11" fillId="0" borderId="128" xfId="0" applyFont="1" applyBorder="1" applyAlignment="1">
      <alignment horizontal="center" vertical="center"/>
    </xf>
    <xf numFmtId="2" fontId="8" fillId="0" borderId="128" xfId="1" applyNumberFormat="1" applyFont="1" applyFill="1" applyBorder="1" applyAlignment="1" applyProtection="1">
      <alignment horizontal="right" vertical="center"/>
    </xf>
    <xf numFmtId="2" fontId="8" fillId="0" borderId="38" xfId="1" applyNumberFormat="1" applyFont="1" applyFill="1" applyBorder="1" applyAlignment="1" applyProtection="1">
      <alignment horizontal="right" vertical="center"/>
    </xf>
    <xf numFmtId="0" fontId="8" fillId="0" borderId="129" xfId="1" applyNumberFormat="1" applyFont="1" applyFill="1" applyBorder="1" applyAlignment="1" applyProtection="1">
      <alignment horizontal="right" vertical="center"/>
    </xf>
    <xf numFmtId="0" fontId="8" fillId="0" borderId="42" xfId="1" applyNumberFormat="1" applyFont="1" applyFill="1" applyBorder="1" applyAlignment="1" applyProtection="1">
      <alignment horizontal="right" vertical="center"/>
    </xf>
    <xf numFmtId="0" fontId="11" fillId="0" borderId="27" xfId="0" applyFont="1" applyBorder="1" applyAlignment="1">
      <alignment horizontal="left" vertical="center"/>
    </xf>
    <xf numFmtId="0" fontId="11" fillId="0" borderId="129" xfId="0" applyFont="1" applyBorder="1" applyAlignment="1">
      <alignment horizontal="left" vertical="center"/>
    </xf>
    <xf numFmtId="0" fontId="5" fillId="0" borderId="53" xfId="0" applyFont="1" applyBorder="1" applyAlignment="1">
      <alignment horizontal="center" vertical="center"/>
    </xf>
    <xf numFmtId="2" fontId="12" fillId="0" borderId="0" xfId="0" applyNumberFormat="1" applyFont="1" applyAlignment="1">
      <alignment horizontal="center" vertical="center"/>
    </xf>
    <xf numFmtId="0" fontId="8" fillId="0" borderId="0" xfId="0" applyFont="1" applyAlignment="1">
      <alignment horizontal="center" vertical="center"/>
    </xf>
    <xf numFmtId="0" fontId="10" fillId="2" borderId="41"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5" fillId="3" borderId="54" xfId="0" applyFont="1" applyFill="1" applyBorder="1" applyAlignment="1">
      <alignment horizontal="center" vertical="center"/>
    </xf>
    <xf numFmtId="0" fontId="5" fillId="3" borderId="41" xfId="0" applyFont="1" applyFill="1" applyBorder="1" applyAlignment="1">
      <alignment horizontal="center"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19" fillId="0" borderId="29" xfId="0" applyFont="1" applyBorder="1" applyAlignment="1">
      <alignment horizontal="center" vertical="center"/>
    </xf>
    <xf numFmtId="0" fontId="19" fillId="0" borderId="8" xfId="0" applyFont="1" applyBorder="1" applyAlignment="1">
      <alignment horizontal="center" vertical="center"/>
    </xf>
    <xf numFmtId="0" fontId="10" fillId="2" borderId="8"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5" fillId="0" borderId="28" xfId="0" applyFont="1" applyBorder="1" applyAlignment="1">
      <alignment vertical="center"/>
    </xf>
    <xf numFmtId="0" fontId="5" fillId="0" borderId="41" xfId="0" applyFont="1" applyBorder="1" applyAlignment="1">
      <alignment vertical="center"/>
    </xf>
    <xf numFmtId="0" fontId="5" fillId="0" borderId="46" xfId="0" applyFont="1" applyBorder="1" applyAlignment="1">
      <alignment vertical="center"/>
    </xf>
    <xf numFmtId="0" fontId="10" fillId="2" borderId="41" xfId="0" applyFont="1" applyFill="1" applyBorder="1" applyAlignment="1" applyProtection="1">
      <alignment vertical="center" shrinkToFit="1"/>
      <protection locked="0"/>
    </xf>
    <xf numFmtId="0" fontId="10" fillId="2" borderId="47" xfId="0" applyFont="1" applyFill="1" applyBorder="1" applyAlignment="1" applyProtection="1">
      <alignment vertical="center" shrinkToFit="1"/>
      <protection locked="0"/>
    </xf>
    <xf numFmtId="0" fontId="0" fillId="2" borderId="40"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10" fillId="2" borderId="6" xfId="0" applyFont="1" applyFill="1" applyBorder="1" applyAlignment="1" applyProtection="1">
      <alignment horizontal="center" vertical="center" shrinkToFit="1"/>
      <protection locked="0"/>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17" fillId="0" borderId="25" xfId="0" applyFont="1" applyBorder="1" applyAlignment="1">
      <alignment horizontal="center" vertical="center" wrapText="1"/>
    </xf>
    <xf numFmtId="179" fontId="8" fillId="0" borderId="44" xfId="0" applyNumberFormat="1" applyFont="1" applyBorder="1" applyAlignment="1">
      <alignment horizontal="right" vertical="center"/>
    </xf>
    <xf numFmtId="179" fontId="8" fillId="0" borderId="7" xfId="0" applyNumberFormat="1" applyFont="1" applyBorder="1" applyAlignment="1">
      <alignment horizontal="right" vertical="center"/>
    </xf>
    <xf numFmtId="0" fontId="5" fillId="0" borderId="7" xfId="0" applyFont="1" applyBorder="1" applyAlignment="1">
      <alignment horizontal="center" vertical="center"/>
    </xf>
    <xf numFmtId="0" fontId="5" fillId="0" borderId="45"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5" fillId="0" borderId="32" xfId="0" applyFont="1" applyBorder="1" applyAlignment="1">
      <alignment vertical="center"/>
    </xf>
    <xf numFmtId="0" fontId="5" fillId="0" borderId="2" xfId="0" applyFont="1" applyBorder="1" applyAlignment="1">
      <alignment vertical="center"/>
    </xf>
    <xf numFmtId="0" fontId="8" fillId="0" borderId="38" xfId="0" applyFont="1" applyBorder="1" applyAlignment="1">
      <alignment horizontal="right" vertical="center"/>
    </xf>
    <xf numFmtId="0" fontId="8" fillId="0" borderId="7" xfId="0" applyFont="1" applyBorder="1" applyAlignment="1">
      <alignment horizontal="right" vertical="center"/>
    </xf>
    <xf numFmtId="2" fontId="8" fillId="0" borderId="10" xfId="0" applyNumberFormat="1" applyFont="1" applyBorder="1" applyAlignment="1">
      <alignment horizontal="right" vertical="center"/>
    </xf>
    <xf numFmtId="2" fontId="8" fillId="0" borderId="8" xfId="0" applyNumberFormat="1" applyFont="1" applyBorder="1" applyAlignment="1">
      <alignment horizontal="righ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0" fillId="0" borderId="40" xfId="0" applyBorder="1" applyAlignment="1">
      <alignment horizontal="center" vertical="center"/>
    </xf>
    <xf numFmtId="0" fontId="0" fillId="0" borderId="49" xfId="0" applyBorder="1" applyAlignment="1">
      <alignment horizontal="center" vertical="center"/>
    </xf>
    <xf numFmtId="0" fontId="0" fillId="0" borderId="25" xfId="0" applyBorder="1" applyAlignment="1">
      <alignment horizontal="center" vertical="center"/>
    </xf>
    <xf numFmtId="0" fontId="3" fillId="0" borderId="15" xfId="1" applyNumberFormat="1" applyFont="1" applyFill="1" applyBorder="1" applyAlignment="1" applyProtection="1">
      <alignment horizontal="center"/>
    </xf>
    <xf numFmtId="0" fontId="3" fillId="0" borderId="128" xfId="1" applyNumberFormat="1" applyFont="1" applyFill="1" applyBorder="1" applyAlignment="1" applyProtection="1">
      <alignment horizontal="center"/>
    </xf>
    <xf numFmtId="0" fontId="8" fillId="0" borderId="128" xfId="1" applyNumberFormat="1" applyFont="1" applyFill="1" applyBorder="1" applyAlignment="1" applyProtection="1">
      <alignment horizontal="right" vertical="center"/>
    </xf>
    <xf numFmtId="0" fontId="8" fillId="0" borderId="38" xfId="1" applyNumberFormat="1" applyFont="1" applyFill="1" applyBorder="1" applyAlignment="1" applyProtection="1">
      <alignment horizontal="right" vertical="center"/>
    </xf>
    <xf numFmtId="0" fontId="11" fillId="0" borderId="128" xfId="0" applyFont="1" applyBorder="1" applyAlignment="1">
      <alignment vertical="center"/>
    </xf>
    <xf numFmtId="0" fontId="3" fillId="0" borderId="9" xfId="1" applyNumberFormat="1" applyFont="1" applyFill="1" applyBorder="1" applyAlignment="1" applyProtection="1">
      <alignment horizontal="center"/>
    </xf>
    <xf numFmtId="0" fontId="3" fillId="0" borderId="27" xfId="1" applyNumberFormat="1" applyFont="1" applyFill="1" applyBorder="1" applyAlignment="1" applyProtection="1">
      <alignment horizontal="center"/>
    </xf>
    <xf numFmtId="0" fontId="11" fillId="0" borderId="129" xfId="0" applyFont="1" applyBorder="1" applyAlignment="1">
      <alignment vertical="center"/>
    </xf>
    <xf numFmtId="0" fontId="9" fillId="2" borderId="62" xfId="0" applyFont="1" applyFill="1" applyBorder="1" applyAlignment="1" applyProtection="1">
      <alignment horizontal="center" vertical="center" shrinkToFit="1"/>
      <protection locked="0"/>
    </xf>
    <xf numFmtId="0" fontId="9" fillId="2" borderId="59" xfId="0" applyFont="1" applyFill="1" applyBorder="1" applyAlignment="1" applyProtection="1">
      <alignment horizontal="center" vertical="center" shrinkToFit="1"/>
      <protection locked="0"/>
    </xf>
    <xf numFmtId="0" fontId="9" fillId="2" borderId="58" xfId="0" applyFont="1" applyFill="1" applyBorder="1" applyAlignment="1" applyProtection="1">
      <alignment horizontal="center" vertical="center" shrinkToFit="1"/>
      <protection locked="0"/>
    </xf>
    <xf numFmtId="0" fontId="9" fillId="2" borderId="79" xfId="0" applyFont="1" applyFill="1" applyBorder="1" applyAlignment="1" applyProtection="1">
      <alignment horizontal="center" vertical="center" shrinkToFit="1"/>
      <protection locked="0"/>
    </xf>
    <xf numFmtId="0" fontId="9" fillId="2" borderId="78" xfId="0" applyFont="1" applyFill="1" applyBorder="1" applyAlignment="1" applyProtection="1">
      <alignment horizontal="center" vertical="center" shrinkToFit="1"/>
      <protection locked="0"/>
    </xf>
    <xf numFmtId="178" fontId="9" fillId="2" borderId="64" xfId="0" applyNumberFormat="1" applyFont="1" applyFill="1" applyBorder="1" applyAlignment="1" applyProtection="1">
      <alignment horizontal="center" vertical="center" shrinkToFit="1"/>
      <protection locked="0"/>
    </xf>
    <xf numFmtId="178" fontId="9" fillId="2" borderId="65" xfId="0" applyNumberFormat="1" applyFont="1" applyFill="1" applyBorder="1" applyAlignment="1" applyProtection="1">
      <alignment horizontal="center" vertical="center" shrinkToFit="1"/>
      <protection locked="0"/>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0" fillId="0" borderId="63" xfId="0" applyFont="1" applyBorder="1" applyAlignment="1">
      <alignment horizontal="center" vertical="center"/>
    </xf>
    <xf numFmtId="0" fontId="9" fillId="2" borderId="71" xfId="0" applyFont="1" applyFill="1" applyBorder="1" applyAlignment="1" applyProtection="1">
      <alignment horizontal="center" vertical="center" shrinkToFit="1"/>
      <protection locked="0"/>
    </xf>
    <xf numFmtId="0" fontId="9" fillId="2" borderId="72" xfId="0" applyFont="1" applyFill="1" applyBorder="1" applyAlignment="1" applyProtection="1">
      <alignment horizontal="center" vertical="center" shrinkToFit="1"/>
      <protection locked="0"/>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87" xfId="0" applyFont="1" applyFill="1" applyBorder="1" applyAlignment="1">
      <alignment horizontal="center" vertical="center"/>
    </xf>
    <xf numFmtId="0" fontId="5" fillId="0" borderId="42" xfId="0" applyFont="1" applyBorder="1" applyAlignment="1">
      <alignment horizontal="center" vertical="center"/>
    </xf>
    <xf numFmtId="0" fontId="5" fillId="0" borderId="55"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126" xfId="0" applyFont="1" applyBorder="1" applyAlignment="1">
      <alignment horizontal="center" vertical="center"/>
    </xf>
    <xf numFmtId="0" fontId="5" fillId="0" borderId="16" xfId="0" applyFont="1" applyBorder="1" applyAlignment="1">
      <alignment horizontal="center" vertical="center"/>
    </xf>
    <xf numFmtId="0" fontId="5" fillId="0" borderId="127" xfId="0" applyFont="1" applyBorder="1" applyAlignment="1">
      <alignment horizontal="center" vertical="center"/>
    </xf>
    <xf numFmtId="0" fontId="5" fillId="0" borderId="3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0" fontId="5" fillId="0" borderId="17" xfId="0" applyFont="1" applyBorder="1" applyAlignment="1">
      <alignment horizontal="center" vertical="center"/>
    </xf>
    <xf numFmtId="0" fontId="15" fillId="0" borderId="6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44" xfId="0" applyFont="1" applyBorder="1" applyAlignment="1">
      <alignment horizontal="center" vertical="center"/>
    </xf>
    <xf numFmtId="0" fontId="5" fillId="0" borderId="26" xfId="0" applyFont="1" applyBorder="1" applyAlignment="1">
      <alignment horizontal="center" vertical="center"/>
    </xf>
    <xf numFmtId="0" fontId="9" fillId="2" borderId="75" xfId="0" applyFont="1" applyFill="1" applyBorder="1" applyAlignment="1" applyProtection="1">
      <alignment horizontal="center" vertical="center" shrinkToFit="1"/>
      <protection locked="0"/>
    </xf>
    <xf numFmtId="0" fontId="10" fillId="2" borderId="72" xfId="0" applyFont="1" applyFill="1" applyBorder="1" applyAlignment="1" applyProtection="1">
      <alignment horizontal="center" vertical="center" shrinkToFit="1"/>
      <protection locked="0"/>
    </xf>
    <xf numFmtId="0" fontId="9" fillId="2" borderId="117" xfId="0" applyFont="1" applyFill="1" applyBorder="1" applyAlignment="1" applyProtection="1">
      <alignment horizontal="center" vertical="center" shrinkToFit="1"/>
      <protection locked="0"/>
    </xf>
    <xf numFmtId="0" fontId="9" fillId="2" borderId="101" xfId="0" applyFont="1" applyFill="1" applyBorder="1" applyAlignment="1" applyProtection="1">
      <alignment horizontal="center" vertical="center" shrinkToFit="1"/>
      <protection locked="0"/>
    </xf>
    <xf numFmtId="0" fontId="9" fillId="2" borderId="64" xfId="0" applyFont="1" applyFill="1" applyBorder="1" applyAlignment="1" applyProtection="1">
      <alignment horizontal="center" vertical="center" shrinkToFit="1"/>
      <protection locked="0"/>
    </xf>
    <xf numFmtId="0" fontId="9" fillId="2" borderId="65" xfId="0" applyFont="1" applyFill="1" applyBorder="1" applyAlignment="1" applyProtection="1">
      <alignment horizontal="center" vertical="center" shrinkToFit="1"/>
      <protection locked="0"/>
    </xf>
    <xf numFmtId="0" fontId="9" fillId="2" borderId="88" xfId="0" applyFont="1" applyFill="1" applyBorder="1" applyAlignment="1" applyProtection="1">
      <alignment horizontal="center" vertical="center" shrinkToFit="1"/>
      <protection locked="0"/>
    </xf>
    <xf numFmtId="0" fontId="9" fillId="2" borderId="113" xfId="0" applyFont="1" applyFill="1" applyBorder="1" applyAlignment="1" applyProtection="1">
      <alignment horizontal="center" vertical="center" shrinkToFit="1"/>
      <protection locked="0"/>
    </xf>
    <xf numFmtId="0" fontId="5" fillId="2" borderId="64"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49" fontId="9" fillId="2" borderId="68" xfId="0" applyNumberFormat="1" applyFont="1" applyFill="1" applyBorder="1" applyAlignment="1" applyProtection="1">
      <alignment horizontal="center" vertical="center" shrinkToFit="1"/>
      <protection locked="0"/>
    </xf>
    <xf numFmtId="49" fontId="9" fillId="2" borderId="65" xfId="0" applyNumberFormat="1" applyFont="1" applyFill="1" applyBorder="1" applyAlignment="1" applyProtection="1">
      <alignment horizontal="center" vertical="center" shrinkToFit="1"/>
      <protection locked="0"/>
    </xf>
    <xf numFmtId="49" fontId="9" fillId="2" borderId="75" xfId="0" applyNumberFormat="1" applyFont="1" applyFill="1" applyBorder="1" applyAlignment="1" applyProtection="1">
      <alignment horizontal="center" vertical="center" shrinkToFit="1"/>
      <protection locked="0"/>
    </xf>
    <xf numFmtId="49" fontId="9" fillId="2" borderId="72" xfId="0" applyNumberFormat="1" applyFont="1" applyFill="1" applyBorder="1" applyAlignment="1" applyProtection="1">
      <alignment horizontal="center" vertical="center" shrinkToFit="1"/>
      <protection locked="0"/>
    </xf>
    <xf numFmtId="0" fontId="9" fillId="2" borderId="87" xfId="0" applyFont="1" applyFill="1" applyBorder="1" applyAlignment="1" applyProtection="1">
      <alignment horizontal="center" vertical="center" shrinkToFit="1"/>
      <protection locked="0"/>
    </xf>
    <xf numFmtId="178" fontId="5" fillId="0" borderId="10"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49" fontId="9" fillId="2" borderId="119" xfId="0" applyNumberFormat="1" applyFont="1" applyFill="1" applyBorder="1" applyAlignment="1" applyProtection="1">
      <alignment horizontal="center" vertical="center" shrinkToFit="1"/>
      <protection locked="0"/>
    </xf>
    <xf numFmtId="49" fontId="9" fillId="2" borderId="57" xfId="0" applyNumberFormat="1" applyFont="1" applyFill="1" applyBorder="1" applyAlignment="1" applyProtection="1">
      <alignment horizontal="center" vertical="center" shrinkToFit="1"/>
      <protection locked="0"/>
    </xf>
    <xf numFmtId="0" fontId="9" fillId="2" borderId="56" xfId="0" applyFont="1" applyFill="1" applyBorder="1" applyAlignment="1" applyProtection="1">
      <alignment horizontal="center" vertical="center" shrinkToFit="1"/>
      <protection locked="0"/>
    </xf>
    <xf numFmtId="0" fontId="9" fillId="2" borderId="57" xfId="0" applyFont="1" applyFill="1" applyBorder="1" applyAlignment="1" applyProtection="1">
      <alignment horizontal="center" vertical="center" shrinkToFit="1"/>
      <protection locked="0"/>
    </xf>
    <xf numFmtId="178" fontId="5" fillId="0" borderId="36" xfId="0" applyNumberFormat="1" applyFont="1" applyBorder="1" applyAlignment="1">
      <alignment horizontal="center" vertical="center" wrapText="1"/>
    </xf>
    <xf numFmtId="178" fontId="5" fillId="0" borderId="37" xfId="0" applyNumberFormat="1" applyFont="1" applyBorder="1" applyAlignment="1">
      <alignment horizontal="center" vertical="center" wrapText="1"/>
    </xf>
    <xf numFmtId="178" fontId="5" fillId="0" borderId="7" xfId="0" applyNumberFormat="1" applyFont="1" applyBorder="1" applyAlignment="1">
      <alignment horizontal="center" vertical="center"/>
    </xf>
    <xf numFmtId="0" fontId="5" fillId="0" borderId="60" xfId="0" applyFont="1" applyBorder="1" applyAlignment="1">
      <alignment horizontal="center" vertical="center"/>
    </xf>
    <xf numFmtId="0" fontId="5" fillId="0" borderId="103" xfId="0" applyFont="1" applyBorder="1" applyAlignment="1">
      <alignment horizontal="center" vertical="center"/>
    </xf>
    <xf numFmtId="0" fontId="5" fillId="0" borderId="33" xfId="0" applyFont="1" applyBorder="1" applyAlignment="1">
      <alignment horizontal="center" vertical="center"/>
    </xf>
    <xf numFmtId="0" fontId="5" fillId="0" borderId="3" xfId="0" applyFont="1" applyBorder="1" applyAlignment="1">
      <alignment horizontal="center" vertical="center"/>
    </xf>
    <xf numFmtId="178" fontId="5" fillId="0" borderId="71" xfId="0" applyNumberFormat="1" applyFont="1" applyBorder="1" applyAlignment="1">
      <alignment horizontal="center" vertical="center"/>
    </xf>
    <xf numFmtId="178" fontId="5" fillId="0" borderId="101" xfId="0" applyNumberFormat="1" applyFont="1" applyBorder="1" applyAlignment="1">
      <alignment horizontal="center" vertical="center"/>
    </xf>
    <xf numFmtId="178" fontId="5" fillId="0" borderId="73" xfId="0" applyNumberFormat="1" applyFont="1" applyBorder="1" applyAlignment="1">
      <alignment horizontal="center" vertical="center"/>
    </xf>
    <xf numFmtId="178" fontId="5" fillId="0" borderId="58" xfId="0" applyNumberFormat="1" applyFont="1" applyBorder="1" applyAlignment="1">
      <alignment horizontal="center" vertical="center"/>
    </xf>
    <xf numFmtId="178" fontId="5" fillId="0" borderId="78" xfId="0" applyNumberFormat="1" applyFont="1" applyBorder="1" applyAlignment="1">
      <alignment horizontal="center" vertical="center"/>
    </xf>
    <xf numFmtId="178" fontId="5" fillId="0" borderId="102" xfId="0" applyNumberFormat="1" applyFont="1" applyBorder="1" applyAlignment="1">
      <alignment horizontal="center" vertical="center"/>
    </xf>
    <xf numFmtId="0" fontId="5" fillId="0" borderId="81"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17" xfId="0" applyFont="1" applyBorder="1" applyAlignment="1">
      <alignment horizontal="center" vertical="center" wrapText="1"/>
    </xf>
    <xf numFmtId="49" fontId="9" fillId="2" borderId="62" xfId="0" applyNumberFormat="1" applyFont="1" applyFill="1" applyBorder="1" applyAlignment="1" applyProtection="1">
      <alignment horizontal="center" vertical="center" shrinkToFit="1"/>
      <protection locked="0"/>
    </xf>
    <xf numFmtId="49" fontId="9" fillId="2" borderId="59" xfId="0" applyNumberFormat="1" applyFont="1" applyFill="1" applyBorder="1" applyAlignment="1" applyProtection="1">
      <alignment horizontal="center" vertical="center" shrinkToFit="1"/>
      <protection locked="0"/>
    </xf>
    <xf numFmtId="178" fontId="5" fillId="0" borderId="98" xfId="0" applyNumberFormat="1" applyFont="1" applyBorder="1" applyAlignment="1">
      <alignment horizontal="center" vertical="center"/>
    </xf>
    <xf numFmtId="178" fontId="5" fillId="0" borderId="20" xfId="0" applyNumberFormat="1" applyFont="1" applyBorder="1" applyAlignment="1">
      <alignment horizontal="center" vertical="center"/>
    </xf>
    <xf numFmtId="178" fontId="5" fillId="0" borderId="21" xfId="0" applyNumberFormat="1" applyFont="1" applyBorder="1" applyAlignment="1">
      <alignment horizontal="center" vertical="center"/>
    </xf>
    <xf numFmtId="178" fontId="5" fillId="0" borderId="63" xfId="0" applyNumberFormat="1" applyFont="1" applyBorder="1" applyAlignment="1">
      <alignment horizontal="center" vertical="center"/>
    </xf>
    <xf numFmtId="178" fontId="5" fillId="0" borderId="98" xfId="0" applyNumberFormat="1" applyFont="1" applyBorder="1" applyAlignment="1">
      <alignment horizontal="center" vertical="center" wrapText="1"/>
    </xf>
    <xf numFmtId="178" fontId="5" fillId="0" borderId="21" xfId="0" applyNumberFormat="1" applyFont="1" applyBorder="1" applyAlignment="1">
      <alignment horizontal="center" vertical="center" wrapText="1"/>
    </xf>
    <xf numFmtId="178" fontId="19" fillId="0" borderId="56" xfId="0" applyNumberFormat="1" applyFont="1" applyBorder="1" applyAlignment="1">
      <alignment horizontal="center" vertical="center"/>
    </xf>
    <xf numFmtId="178" fontId="19" fillId="0" borderId="57" xfId="0" applyNumberFormat="1" applyFont="1" applyBorder="1" applyAlignment="1">
      <alignment horizontal="center" vertical="center"/>
    </xf>
    <xf numFmtId="178" fontId="19" fillId="0" borderId="64" xfId="0" applyNumberFormat="1" applyFont="1" applyBorder="1" applyAlignment="1">
      <alignment horizontal="center" vertical="center"/>
    </xf>
    <xf numFmtId="178" fontId="19" fillId="0" borderId="65" xfId="0" applyNumberFormat="1" applyFont="1" applyBorder="1" applyAlignment="1">
      <alignment horizontal="center" vertical="center"/>
    </xf>
    <xf numFmtId="178" fontId="5" fillId="0" borderId="66" xfId="0" applyNumberFormat="1" applyFont="1" applyBorder="1" applyAlignment="1">
      <alignment horizontal="center" vertical="center" wrapText="1"/>
    </xf>
    <xf numFmtId="178" fontId="5" fillId="0" borderId="67" xfId="0" applyNumberFormat="1" applyFont="1" applyBorder="1" applyAlignment="1">
      <alignment horizontal="center" vertical="center" wrapText="1"/>
    </xf>
    <xf numFmtId="0" fontId="8" fillId="0" borderId="42"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55" xfId="0" applyFont="1" applyBorder="1" applyAlignment="1">
      <alignment horizontal="center" vertical="center" textRotation="255"/>
    </xf>
    <xf numFmtId="0" fontId="8" fillId="0" borderId="0" xfId="0" applyFont="1" applyAlignment="1">
      <alignment horizontal="center" vertical="center" textRotation="255"/>
    </xf>
    <xf numFmtId="0" fontId="8" fillId="0" borderId="32" xfId="0" applyFont="1" applyBorder="1" applyAlignment="1">
      <alignment horizontal="center" vertical="center" textRotation="255"/>
    </xf>
    <xf numFmtId="0" fontId="8" fillId="0" borderId="2" xfId="0" applyFont="1" applyBorder="1" applyAlignment="1">
      <alignment horizontal="center" vertical="center" textRotation="255"/>
    </xf>
    <xf numFmtId="0" fontId="40" fillId="0" borderId="8" xfId="0" applyFont="1" applyBorder="1" applyAlignment="1">
      <alignment horizontal="center" vertical="center" shrinkToFit="1"/>
    </xf>
    <xf numFmtId="0" fontId="5" fillId="0" borderId="8" xfId="0" applyFont="1" applyBorder="1" applyAlignment="1">
      <alignment horizontal="center" vertical="center" shrinkToFit="1"/>
    </xf>
    <xf numFmtId="178" fontId="5" fillId="0" borderId="41" xfId="0" applyNumberFormat="1" applyFont="1" applyBorder="1" applyAlignment="1">
      <alignment horizontal="center" vertical="center"/>
    </xf>
    <xf numFmtId="178" fontId="5" fillId="0" borderId="4" xfId="0" applyNumberFormat="1" applyFont="1" applyBorder="1" applyAlignment="1">
      <alignment horizontal="center" vertical="center"/>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61" xfId="0" applyFont="1" applyBorder="1" applyAlignment="1">
      <alignment horizontal="center" vertical="center"/>
    </xf>
    <xf numFmtId="0" fontId="5" fillId="0" borderId="74" xfId="0" applyFont="1" applyBorder="1" applyAlignment="1">
      <alignment horizontal="center" vertical="center"/>
    </xf>
    <xf numFmtId="178" fontId="9" fillId="2" borderId="71" xfId="0" applyNumberFormat="1" applyFont="1" applyFill="1" applyBorder="1" applyAlignment="1" applyProtection="1">
      <alignment horizontal="center" vertical="center" shrinkToFit="1"/>
      <protection locked="0"/>
    </xf>
    <xf numFmtId="178" fontId="9" fillId="2" borderId="101" xfId="0" applyNumberFormat="1" applyFont="1" applyFill="1" applyBorder="1" applyAlignment="1" applyProtection="1">
      <alignment horizontal="center" vertical="center" shrinkToFit="1"/>
      <protection locked="0"/>
    </xf>
    <xf numFmtId="178" fontId="9" fillId="2" borderId="72" xfId="0" applyNumberFormat="1" applyFont="1" applyFill="1" applyBorder="1" applyAlignment="1" applyProtection="1">
      <alignment horizontal="center" vertical="center" shrinkToFit="1"/>
      <protection locked="0"/>
    </xf>
    <xf numFmtId="178" fontId="9" fillId="2" borderId="58" xfId="0" applyNumberFormat="1" applyFont="1" applyFill="1" applyBorder="1" applyAlignment="1" applyProtection="1">
      <alignment horizontal="center" vertical="center" shrinkToFit="1"/>
      <protection locked="0"/>
    </xf>
    <xf numFmtId="178" fontId="9" fillId="2" borderId="78" xfId="0" applyNumberFormat="1" applyFont="1" applyFill="1" applyBorder="1" applyAlignment="1" applyProtection="1">
      <alignment horizontal="center" vertical="center" shrinkToFit="1"/>
      <protection locked="0"/>
    </xf>
    <xf numFmtId="178" fontId="9" fillId="2" borderId="59" xfId="0" applyNumberFormat="1" applyFont="1" applyFill="1" applyBorder="1" applyAlignment="1" applyProtection="1">
      <alignment horizontal="center" vertical="center" shrinkToFit="1"/>
      <protection locked="0"/>
    </xf>
    <xf numFmtId="0" fontId="5" fillId="0" borderId="3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8" xfId="0" applyFont="1" applyBorder="1" applyAlignment="1">
      <alignment horizontal="center" vertical="center"/>
    </xf>
    <xf numFmtId="0" fontId="5" fillId="0" borderId="15" xfId="0" applyFont="1" applyBorder="1" applyAlignment="1">
      <alignment horizontal="center" vertical="center"/>
    </xf>
    <xf numFmtId="178" fontId="5" fillId="0" borderId="66" xfId="0" applyNumberFormat="1" applyFont="1" applyBorder="1" applyAlignment="1">
      <alignment horizontal="center" vertical="center"/>
    </xf>
    <xf numFmtId="178" fontId="5" fillId="0" borderId="64" xfId="0" applyNumberFormat="1" applyFont="1" applyBorder="1" applyAlignment="1">
      <alignment horizontal="center" vertical="center"/>
    </xf>
    <xf numFmtId="178" fontId="5" fillId="0" borderId="65" xfId="0" applyNumberFormat="1" applyFont="1" applyBorder="1" applyAlignment="1">
      <alignment horizontal="center" vertical="center"/>
    </xf>
    <xf numFmtId="178" fontId="9" fillId="2" borderId="56" xfId="0" applyNumberFormat="1" applyFont="1" applyFill="1" applyBorder="1" applyAlignment="1" applyProtection="1">
      <alignment horizontal="center" vertical="center" shrinkToFit="1"/>
      <protection locked="0"/>
    </xf>
    <xf numFmtId="178" fontId="9" fillId="2" borderId="57" xfId="0" applyNumberFormat="1" applyFont="1" applyFill="1" applyBorder="1" applyAlignment="1" applyProtection="1">
      <alignment horizontal="center" vertical="center" shrinkToFit="1"/>
      <protection locked="0"/>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178" fontId="5" fillId="0" borderId="36" xfId="0" applyNumberFormat="1" applyFont="1" applyBorder="1" applyAlignment="1">
      <alignment horizontal="center" vertical="center"/>
    </xf>
    <xf numFmtId="178" fontId="5" fillId="0" borderId="60" xfId="0" applyNumberFormat="1" applyFont="1" applyBorder="1" applyAlignment="1">
      <alignment horizontal="center" vertical="center"/>
    </xf>
    <xf numFmtId="178" fontId="5" fillId="0" borderId="61" xfId="0" applyNumberFormat="1" applyFont="1" applyBorder="1" applyAlignment="1">
      <alignment horizontal="center" vertical="center"/>
    </xf>
    <xf numFmtId="178" fontId="5" fillId="0" borderId="71" xfId="0" applyNumberFormat="1" applyFont="1" applyBorder="1" applyAlignment="1">
      <alignment horizontal="center" vertical="center" wrapText="1"/>
    </xf>
    <xf numFmtId="178" fontId="5" fillId="0" borderId="73" xfId="0" applyNumberFormat="1" applyFont="1" applyBorder="1" applyAlignment="1">
      <alignment horizontal="center" vertical="center" wrapText="1"/>
    </xf>
    <xf numFmtId="0" fontId="5" fillId="0" borderId="0" xfId="0" applyFont="1" applyAlignment="1" applyProtection="1">
      <alignment horizontal="center" vertical="center"/>
      <protection locked="0"/>
    </xf>
    <xf numFmtId="178" fontId="5" fillId="0" borderId="37" xfId="0" applyNumberFormat="1" applyFont="1" applyBorder="1" applyAlignment="1">
      <alignment horizontal="center" vertical="center"/>
    </xf>
    <xf numFmtId="178" fontId="9" fillId="2" borderId="69" xfId="0" applyNumberFormat="1" applyFont="1" applyFill="1" applyBorder="1" applyAlignment="1" applyProtection="1">
      <alignment horizontal="center" vertical="center" shrinkToFit="1"/>
      <protection locked="0"/>
    </xf>
    <xf numFmtId="178" fontId="9" fillId="2" borderId="70" xfId="0" applyNumberFormat="1" applyFont="1" applyFill="1" applyBorder="1" applyAlignment="1" applyProtection="1">
      <alignment horizontal="center" vertical="center" shrinkToFit="1"/>
      <protection locked="0"/>
    </xf>
    <xf numFmtId="178" fontId="5" fillId="0" borderId="59" xfId="0" applyNumberFormat="1" applyFont="1" applyBorder="1" applyAlignment="1">
      <alignment horizontal="center" vertical="center"/>
    </xf>
    <xf numFmtId="0" fontId="5" fillId="0" borderId="54" xfId="0" applyFont="1" applyBorder="1" applyAlignment="1">
      <alignment horizontal="center" vertical="center" wrapText="1"/>
    </xf>
    <xf numFmtId="0" fontId="5" fillId="0" borderId="47" xfId="0" applyFont="1" applyBorder="1" applyAlignment="1">
      <alignment horizontal="center" vertical="center" wrapText="1"/>
    </xf>
    <xf numFmtId="0" fontId="9" fillId="2" borderId="13"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10" fillId="3" borderId="2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63" xfId="0" applyFont="1" applyFill="1" applyBorder="1" applyAlignment="1">
      <alignment horizontal="center" vertical="center"/>
    </xf>
    <xf numFmtId="178" fontId="5" fillId="0" borderId="105" xfId="0" applyNumberFormat="1" applyFont="1" applyBorder="1" applyAlignment="1">
      <alignment horizontal="center" vertical="center"/>
    </xf>
    <xf numFmtId="178" fontId="5" fillId="0" borderId="139" xfId="0" applyNumberFormat="1" applyFont="1" applyBorder="1" applyAlignment="1">
      <alignment horizontal="center" vertical="center"/>
    </xf>
    <xf numFmtId="178" fontId="9" fillId="2" borderId="60" xfId="0" applyNumberFormat="1" applyFont="1" applyFill="1" applyBorder="1" applyAlignment="1" applyProtection="1">
      <alignment horizontal="center" vertical="center" shrinkToFit="1"/>
      <protection locked="0"/>
    </xf>
    <xf numFmtId="178" fontId="9" fillId="2" borderId="61" xfId="0" applyNumberFormat="1" applyFont="1" applyFill="1" applyBorder="1" applyAlignment="1" applyProtection="1">
      <alignment horizontal="center" vertical="center" shrinkToFit="1"/>
      <protection locked="0"/>
    </xf>
    <xf numFmtId="0" fontId="5" fillId="2" borderId="13" xfId="0" applyFont="1" applyFill="1" applyBorder="1" applyAlignment="1">
      <alignment horizontal="center" vertical="center"/>
    </xf>
    <xf numFmtId="0" fontId="9" fillId="5" borderId="83" xfId="1" applyNumberFormat="1" applyFont="1" applyFill="1" applyBorder="1" applyAlignment="1" applyProtection="1">
      <alignment horizontal="center" vertical="center" shrinkToFit="1"/>
      <protection locked="0"/>
    </xf>
    <xf numFmtId="0" fontId="9" fillId="5" borderId="56" xfId="1" applyNumberFormat="1" applyFont="1" applyFill="1" applyBorder="1" applyAlignment="1" applyProtection="1">
      <alignment horizontal="center" vertical="center" shrinkToFit="1"/>
      <protection locked="0"/>
    </xf>
    <xf numFmtId="0" fontId="9" fillId="5" borderId="138" xfId="1" applyNumberFormat="1" applyFont="1" applyFill="1" applyBorder="1" applyAlignment="1" applyProtection="1">
      <alignment horizontal="center" vertical="center" shrinkToFit="1"/>
      <protection locked="0"/>
    </xf>
    <xf numFmtId="0" fontId="9" fillId="5" borderId="57" xfId="1" applyNumberFormat="1" applyFont="1" applyFill="1" applyBorder="1" applyAlignment="1" applyProtection="1">
      <alignment horizontal="center" vertical="center" shrinkToFit="1"/>
      <protection locked="0"/>
    </xf>
    <xf numFmtId="0" fontId="9" fillId="5" borderId="105" xfId="1" applyNumberFormat="1" applyFont="1" applyFill="1" applyBorder="1" applyAlignment="1" applyProtection="1">
      <alignment horizontal="center" vertical="center" shrinkToFit="1"/>
      <protection locked="0"/>
    </xf>
    <xf numFmtId="178" fontId="5" fillId="0" borderId="56" xfId="0" applyNumberFormat="1" applyFont="1" applyBorder="1" applyAlignment="1">
      <alignment horizontal="center" vertical="center"/>
    </xf>
    <xf numFmtId="178" fontId="5" fillId="0" borderId="57" xfId="0" applyNumberFormat="1" applyFont="1" applyBorder="1" applyAlignment="1">
      <alignment horizontal="center" vertical="center"/>
    </xf>
    <xf numFmtId="2" fontId="9" fillId="2" borderId="56" xfId="0" applyNumberFormat="1" applyFont="1" applyFill="1" applyBorder="1" applyAlignment="1" applyProtection="1">
      <alignment horizontal="center" vertical="center" shrinkToFit="1"/>
      <protection locked="0"/>
    </xf>
    <xf numFmtId="2" fontId="9" fillId="2" borderId="57" xfId="0" applyNumberFormat="1" applyFont="1" applyFill="1" applyBorder="1" applyAlignment="1" applyProtection="1">
      <alignment horizontal="center" vertical="center" shrinkToFit="1"/>
      <protection locked="0"/>
    </xf>
    <xf numFmtId="178" fontId="5" fillId="0" borderId="67" xfId="0" applyNumberFormat="1" applyFont="1" applyBorder="1" applyAlignment="1">
      <alignment horizontal="center" vertical="center"/>
    </xf>
    <xf numFmtId="0" fontId="9" fillId="5" borderId="85" xfId="1" applyNumberFormat="1" applyFont="1" applyFill="1" applyBorder="1" applyAlignment="1" applyProtection="1">
      <alignment horizontal="center" vertical="center" shrinkToFit="1"/>
      <protection locked="0"/>
    </xf>
    <xf numFmtId="0" fontId="9" fillId="5" borderId="64" xfId="1" applyNumberFormat="1" applyFont="1" applyFill="1" applyBorder="1" applyAlignment="1" applyProtection="1">
      <alignment horizontal="center" vertical="center" shrinkToFit="1"/>
      <protection locked="0"/>
    </xf>
    <xf numFmtId="0" fontId="9" fillId="5" borderId="86" xfId="1" applyNumberFormat="1" applyFont="1" applyFill="1" applyBorder="1" applyAlignment="1" applyProtection="1">
      <alignment horizontal="center" vertical="center" shrinkToFit="1"/>
      <protection locked="0"/>
    </xf>
    <xf numFmtId="0" fontId="9" fillId="5" borderId="65" xfId="1" applyNumberFormat="1" applyFont="1" applyFill="1" applyBorder="1" applyAlignment="1" applyProtection="1">
      <alignment horizontal="center" vertical="center" shrinkToFit="1"/>
      <protection locked="0"/>
    </xf>
    <xf numFmtId="0" fontId="9" fillId="5" borderId="66" xfId="1" applyNumberFormat="1" applyFont="1" applyFill="1" applyBorder="1" applyAlignment="1" applyProtection="1">
      <alignment horizontal="center" vertical="center" shrinkToFit="1"/>
      <protection locked="0"/>
    </xf>
    <xf numFmtId="2" fontId="9" fillId="2" borderId="64" xfId="0" applyNumberFormat="1" applyFont="1" applyFill="1" applyBorder="1" applyAlignment="1" applyProtection="1">
      <alignment horizontal="center" vertical="center" shrinkToFit="1"/>
      <protection locked="0"/>
    </xf>
    <xf numFmtId="2" fontId="9" fillId="2" borderId="65" xfId="0" applyNumberFormat="1" applyFont="1" applyFill="1" applyBorder="1" applyAlignment="1" applyProtection="1">
      <alignment horizontal="center" vertical="center" shrinkToFit="1"/>
      <protection locked="0"/>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29" xfId="0" applyFont="1" applyBorder="1" applyAlignment="1">
      <alignment horizontal="center" vertical="center" shrinkToFit="1"/>
    </xf>
    <xf numFmtId="0" fontId="5" fillId="0" borderId="37" xfId="0" applyFont="1" applyBorder="1" applyAlignment="1">
      <alignment horizontal="center" vertical="center"/>
    </xf>
    <xf numFmtId="0" fontId="5" fillId="0" borderId="23" xfId="0" applyFont="1" applyBorder="1" applyAlignment="1">
      <alignment horizontal="center" vertical="center"/>
    </xf>
    <xf numFmtId="0" fontId="5" fillId="0" borderId="80"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2" fontId="8" fillId="0" borderId="0" xfId="0" applyNumberFormat="1" applyFont="1" applyAlignment="1">
      <alignment horizontal="center" vertical="center"/>
    </xf>
    <xf numFmtId="38" fontId="5" fillId="0" borderId="54" xfId="1" applyFont="1" applyFill="1" applyBorder="1" applyAlignment="1">
      <alignment horizontal="center" vertical="center"/>
    </xf>
    <xf numFmtId="38" fontId="5" fillId="0" borderId="80"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94" xfId="1" applyFont="1" applyFill="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98" xfId="0" applyFont="1" applyBorder="1" applyAlignment="1">
      <alignment horizontal="center" vertical="center"/>
    </xf>
    <xf numFmtId="0" fontId="5" fillId="0" borderId="63" xfId="0" applyFont="1" applyBorder="1" applyAlignment="1">
      <alignment horizontal="center" vertical="center"/>
    </xf>
    <xf numFmtId="177" fontId="5" fillId="0" borderId="20" xfId="0" applyNumberFormat="1" applyFont="1" applyBorder="1" applyAlignment="1">
      <alignment horizontal="center" vertical="center"/>
    </xf>
    <xf numFmtId="177" fontId="5" fillId="0" borderId="21" xfId="0" applyNumberFormat="1" applyFont="1" applyBorder="1" applyAlignment="1">
      <alignment horizontal="center" vertical="center"/>
    </xf>
    <xf numFmtId="0" fontId="5" fillId="0" borderId="123" xfId="0" applyFont="1" applyBorder="1" applyAlignment="1">
      <alignment horizontal="center" vertical="center"/>
    </xf>
    <xf numFmtId="0" fontId="5" fillId="0" borderId="47" xfId="0" applyFont="1" applyBorder="1" applyAlignment="1">
      <alignment horizontal="center" vertical="center"/>
    </xf>
    <xf numFmtId="0" fontId="5" fillId="0" borderId="124"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5" fillId="0" borderId="7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74" xfId="0" applyFont="1" applyBorder="1" applyAlignment="1">
      <alignment horizontal="center" vertical="center" wrapText="1"/>
    </xf>
    <xf numFmtId="178" fontId="5" fillId="0" borderId="18" xfId="0" applyNumberFormat="1" applyFont="1" applyBorder="1" applyAlignment="1">
      <alignment horizontal="center" vertical="center"/>
    </xf>
    <xf numFmtId="178" fontId="5" fillId="0" borderId="89" xfId="0" applyNumberFormat="1" applyFont="1" applyBorder="1" applyAlignment="1">
      <alignment horizontal="center" vertical="center"/>
    </xf>
    <xf numFmtId="178" fontId="5" fillId="0" borderId="122" xfId="0" applyNumberFormat="1" applyFont="1" applyBorder="1" applyAlignment="1">
      <alignment horizontal="center" vertical="center"/>
    </xf>
    <xf numFmtId="0" fontId="5" fillId="2" borderId="89" xfId="0" applyFont="1" applyFill="1" applyBorder="1" applyAlignment="1">
      <alignment horizontal="center" vertical="center"/>
    </xf>
    <xf numFmtId="0" fontId="5" fillId="2" borderId="90" xfId="0" applyFont="1" applyFill="1" applyBorder="1" applyAlignment="1">
      <alignment horizontal="center" vertical="center"/>
    </xf>
    <xf numFmtId="0" fontId="9" fillId="5" borderId="91" xfId="1" applyNumberFormat="1" applyFont="1" applyFill="1" applyBorder="1" applyAlignment="1" applyProtection="1">
      <alignment horizontal="center" vertical="center" shrinkToFit="1"/>
      <protection locked="0"/>
    </xf>
    <xf numFmtId="0" fontId="9" fillId="5" borderId="71" xfId="1" applyNumberFormat="1" applyFont="1" applyFill="1" applyBorder="1" applyAlignment="1" applyProtection="1">
      <alignment horizontal="center" vertical="center" shrinkToFit="1"/>
      <protection locked="0"/>
    </xf>
    <xf numFmtId="0" fontId="9" fillId="5" borderId="90" xfId="1" applyNumberFormat="1" applyFont="1" applyFill="1" applyBorder="1" applyAlignment="1" applyProtection="1">
      <alignment horizontal="center" vertical="center" shrinkToFit="1"/>
      <protection locked="0"/>
    </xf>
    <xf numFmtId="0" fontId="9" fillId="5" borderId="72" xfId="1" applyNumberFormat="1" applyFont="1" applyFill="1" applyBorder="1" applyAlignment="1" applyProtection="1">
      <alignment horizontal="center" vertical="center" shrinkToFit="1"/>
      <protection locked="0"/>
    </xf>
    <xf numFmtId="0" fontId="9" fillId="5" borderId="89" xfId="1" applyNumberFormat="1" applyFont="1" applyFill="1" applyBorder="1" applyAlignment="1" applyProtection="1">
      <alignment horizontal="center" vertical="center" shrinkToFit="1"/>
      <protection locked="0"/>
    </xf>
    <xf numFmtId="2" fontId="9" fillId="2" borderId="71" xfId="0" applyNumberFormat="1" applyFont="1" applyFill="1" applyBorder="1" applyAlignment="1" applyProtection="1">
      <alignment horizontal="center" vertical="center" shrinkToFit="1"/>
      <protection locked="0"/>
    </xf>
    <xf numFmtId="2" fontId="9" fillId="2" borderId="72" xfId="0" applyNumberFormat="1" applyFont="1" applyFill="1" applyBorder="1" applyAlignment="1" applyProtection="1">
      <alignment horizontal="center" vertical="center" shrinkToFit="1"/>
      <protection locked="0"/>
    </xf>
    <xf numFmtId="178" fontId="19" fillId="0" borderId="71" xfId="0" applyNumberFormat="1" applyFont="1" applyBorder="1" applyAlignment="1">
      <alignment horizontal="center" vertical="center"/>
    </xf>
    <xf numFmtId="178" fontId="19" fillId="0" borderId="72" xfId="0" applyNumberFormat="1" applyFont="1" applyBorder="1" applyAlignment="1">
      <alignment horizontal="center" vertical="center"/>
    </xf>
    <xf numFmtId="0" fontId="5" fillId="2" borderId="56"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9" fillId="2" borderId="60" xfId="0" applyFont="1" applyFill="1" applyBorder="1" applyAlignment="1" applyProtection="1">
      <alignment horizontal="center" vertical="center" shrinkToFit="1"/>
      <protection locked="0"/>
    </xf>
    <xf numFmtId="0" fontId="9" fillId="2" borderId="61" xfId="0" applyFont="1" applyFill="1" applyBorder="1" applyAlignment="1" applyProtection="1">
      <alignment horizontal="center" vertical="center" shrinkToFit="1"/>
      <protection locked="0"/>
    </xf>
    <xf numFmtId="0" fontId="5" fillId="2" borderId="13" xfId="0" applyFont="1" applyFill="1" applyBorder="1" applyAlignment="1">
      <alignment horizontal="center" vertical="center" shrinkToFit="1"/>
    </xf>
    <xf numFmtId="0" fontId="5" fillId="2" borderId="87" xfId="0" applyFont="1" applyFill="1" applyBorder="1" applyAlignment="1">
      <alignment horizontal="center" vertical="center" shrinkToFit="1"/>
    </xf>
    <xf numFmtId="0" fontId="5" fillId="2" borderId="89" xfId="0" applyFont="1" applyFill="1" applyBorder="1" applyAlignment="1">
      <alignment horizontal="center" vertical="center" shrinkToFit="1"/>
    </xf>
    <xf numFmtId="0" fontId="5" fillId="2" borderId="90" xfId="0" applyFont="1" applyFill="1" applyBorder="1" applyAlignment="1">
      <alignment horizontal="center" vertical="center" shrinkToFit="1"/>
    </xf>
    <xf numFmtId="0" fontId="8" fillId="0" borderId="27" xfId="0" applyFont="1" applyBorder="1" applyAlignment="1">
      <alignment horizontal="center" vertical="center" textRotation="255"/>
    </xf>
    <xf numFmtId="0" fontId="8" fillId="0" borderId="103" xfId="0" applyFont="1" applyBorder="1" applyAlignment="1">
      <alignment horizontal="center" vertical="center" textRotation="255"/>
    </xf>
    <xf numFmtId="0" fontId="8" fillId="0" borderId="3" xfId="0" applyFont="1" applyBorder="1" applyAlignment="1">
      <alignment horizontal="center" vertical="center" textRotation="255"/>
    </xf>
    <xf numFmtId="178" fontId="19" fillId="0" borderId="64" xfId="0" applyNumberFormat="1" applyFont="1" applyBorder="1" applyAlignment="1">
      <alignment horizontal="center" vertical="center" shrinkToFit="1"/>
    </xf>
    <xf numFmtId="178" fontId="19" fillId="0" borderId="65" xfId="0" applyNumberFormat="1" applyFont="1" applyBorder="1" applyAlignment="1">
      <alignment horizontal="center" vertical="center" shrinkToFit="1"/>
    </xf>
    <xf numFmtId="178" fontId="19" fillId="0" borderId="56" xfId="0" applyNumberFormat="1" applyFont="1" applyBorder="1" applyAlignment="1">
      <alignment horizontal="center" vertical="center" shrinkToFit="1"/>
    </xf>
    <xf numFmtId="178" fontId="19" fillId="0" borderId="57" xfId="0" applyNumberFormat="1" applyFont="1" applyBorder="1" applyAlignment="1">
      <alignment horizontal="center" vertical="center" shrinkToFit="1"/>
    </xf>
    <xf numFmtId="178" fontId="19" fillId="0" borderId="71" xfId="0" applyNumberFormat="1" applyFont="1" applyBorder="1" applyAlignment="1">
      <alignment horizontal="center" vertical="center" shrinkToFit="1"/>
    </xf>
    <xf numFmtId="178" fontId="19" fillId="0" borderId="72" xfId="0" applyNumberFormat="1" applyFont="1" applyBorder="1" applyAlignment="1">
      <alignment horizontal="center" vertical="center" shrinkToFit="1"/>
    </xf>
    <xf numFmtId="0" fontId="5" fillId="2" borderId="71" xfId="0" applyFont="1" applyFill="1" applyBorder="1" applyAlignment="1">
      <alignment horizontal="center" vertical="center" shrinkToFit="1"/>
    </xf>
    <xf numFmtId="0" fontId="5" fillId="2" borderId="72" xfId="0" applyFont="1" applyFill="1" applyBorder="1" applyAlignment="1">
      <alignment horizontal="center" vertical="center" shrinkToFit="1"/>
    </xf>
    <xf numFmtId="0" fontId="9" fillId="2" borderId="69" xfId="0" applyFont="1" applyFill="1" applyBorder="1" applyAlignment="1" applyProtection="1">
      <alignment horizontal="center" vertical="center" shrinkToFit="1"/>
      <protection locked="0"/>
    </xf>
    <xf numFmtId="0" fontId="9" fillId="2" borderId="70" xfId="0" applyFont="1" applyFill="1" applyBorder="1" applyAlignment="1" applyProtection="1">
      <alignment horizontal="center" vertical="center" shrinkToFit="1"/>
      <protection locked="0"/>
    </xf>
    <xf numFmtId="178" fontId="5" fillId="0" borderId="76" xfId="0" applyNumberFormat="1" applyFont="1" applyBorder="1" applyAlignment="1">
      <alignment horizontal="center" vertical="center"/>
    </xf>
    <xf numFmtId="178" fontId="5" fillId="0" borderId="77" xfId="0" applyNumberFormat="1" applyFont="1" applyBorder="1" applyAlignment="1">
      <alignment horizontal="center" vertical="center"/>
    </xf>
    <xf numFmtId="0" fontId="9" fillId="2" borderId="114" xfId="0" applyFont="1" applyFill="1" applyBorder="1" applyAlignment="1" applyProtection="1">
      <alignment horizontal="center" vertical="center" shrinkToFit="1"/>
      <protection locked="0"/>
    </xf>
    <xf numFmtId="0" fontId="5" fillId="2" borderId="58"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9" fillId="2" borderId="115" xfId="0" applyFont="1" applyFill="1" applyBorder="1" applyAlignment="1" applyProtection="1">
      <alignment horizontal="center" vertical="center" shrinkToFit="1"/>
      <protection locked="0"/>
    </xf>
    <xf numFmtId="0" fontId="9" fillId="2" borderId="116" xfId="0" applyFont="1" applyFill="1" applyBorder="1" applyAlignment="1" applyProtection="1">
      <alignment horizontal="center" vertical="center" shrinkToFit="1"/>
      <protection locked="0"/>
    </xf>
    <xf numFmtId="2" fontId="9" fillId="2" borderId="58" xfId="0" applyNumberFormat="1" applyFont="1" applyFill="1" applyBorder="1" applyAlignment="1" applyProtection="1">
      <alignment horizontal="center" vertical="center" shrinkToFit="1"/>
      <protection locked="0"/>
    </xf>
    <xf numFmtId="2" fontId="9" fillId="2" borderId="59" xfId="0" applyNumberFormat="1" applyFont="1" applyFill="1" applyBorder="1" applyAlignment="1" applyProtection="1">
      <alignment horizontal="center" vertical="center" shrinkToFit="1"/>
      <protection locked="0"/>
    </xf>
    <xf numFmtId="0" fontId="5" fillId="2" borderId="79" xfId="0" applyFont="1" applyFill="1" applyBorder="1" applyAlignment="1">
      <alignment horizontal="center" vertical="center" shrinkToFit="1"/>
    </xf>
    <xf numFmtId="178" fontId="5" fillId="0" borderId="33" xfId="0" applyNumberFormat="1" applyFont="1" applyBorder="1" applyAlignment="1">
      <alignment horizontal="center" vertical="center"/>
    </xf>
    <xf numFmtId="178" fontId="5" fillId="0" borderId="74" xfId="0" applyNumberFormat="1" applyFont="1" applyBorder="1" applyAlignment="1">
      <alignment horizontal="center" vertical="center"/>
    </xf>
    <xf numFmtId="178" fontId="5" fillId="0" borderId="3" xfId="0" applyNumberFormat="1" applyFont="1" applyBorder="1" applyAlignment="1">
      <alignment horizontal="center" vertical="center"/>
    </xf>
    <xf numFmtId="0" fontId="9" fillId="2" borderId="119" xfId="0" applyFont="1" applyFill="1" applyBorder="1" applyAlignment="1" applyProtection="1">
      <alignment horizontal="center" vertical="center" shrinkToFit="1"/>
      <protection locked="0"/>
    </xf>
    <xf numFmtId="49" fontId="9" fillId="2" borderId="56" xfId="0" applyNumberFormat="1" applyFont="1" applyFill="1" applyBorder="1" applyAlignment="1" applyProtection="1">
      <alignment horizontal="center" vertical="center" shrinkToFit="1"/>
      <protection locked="0"/>
    </xf>
    <xf numFmtId="49" fontId="9" fillId="2" borderId="13" xfId="0" applyNumberFormat="1" applyFont="1" applyFill="1" applyBorder="1" applyAlignment="1" applyProtection="1">
      <alignment horizontal="center" vertical="center" shrinkToFit="1"/>
      <protection locked="0"/>
    </xf>
    <xf numFmtId="0" fontId="9" fillId="2" borderId="68" xfId="0" applyFont="1" applyFill="1" applyBorder="1" applyAlignment="1" applyProtection="1">
      <alignment horizontal="center" vertical="center" shrinkToFit="1"/>
      <protection locked="0"/>
    </xf>
    <xf numFmtId="49" fontId="9" fillId="2" borderId="64" xfId="0" applyNumberFormat="1" applyFont="1" applyFill="1" applyBorder="1" applyAlignment="1" applyProtection="1">
      <alignment horizontal="center" vertical="center" shrinkToFit="1"/>
      <protection locked="0"/>
    </xf>
    <xf numFmtId="49" fontId="9" fillId="2" borderId="87" xfId="0" applyNumberFormat="1" applyFont="1" applyFill="1" applyBorder="1" applyAlignment="1" applyProtection="1">
      <alignment horizontal="center" vertical="center" shrinkToFit="1"/>
      <protection locked="0"/>
    </xf>
    <xf numFmtId="178" fontId="0" fillId="0" borderId="25" xfId="0" applyNumberFormat="1" applyBorder="1" applyAlignment="1">
      <alignment horizontal="center" vertical="center"/>
    </xf>
    <xf numFmtId="0" fontId="9" fillId="2" borderId="76" xfId="0" applyFont="1" applyFill="1" applyBorder="1" applyAlignment="1" applyProtection="1">
      <alignment horizontal="center" vertical="center" shrinkToFit="1"/>
      <protection locked="0"/>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177" fontId="5" fillId="0" borderId="58" xfId="0" applyNumberFormat="1" applyFont="1" applyBorder="1" applyAlignment="1">
      <alignment horizontal="center" vertical="center"/>
    </xf>
    <xf numFmtId="177" fontId="5" fillId="0" borderId="59" xfId="0" applyNumberFormat="1" applyFont="1" applyBorder="1" applyAlignment="1">
      <alignment horizontal="center" vertical="center"/>
    </xf>
    <xf numFmtId="0" fontId="9" fillId="2" borderId="58" xfId="0" applyFont="1" applyFill="1" applyBorder="1" applyAlignment="1" applyProtection="1">
      <alignment vertical="center" shrinkToFit="1"/>
      <protection locked="0"/>
    </xf>
    <xf numFmtId="0" fontId="9" fillId="2" borderId="78" xfId="0" applyFont="1" applyFill="1" applyBorder="1" applyAlignment="1" applyProtection="1">
      <alignment vertical="center" shrinkToFit="1"/>
      <protection locked="0"/>
    </xf>
    <xf numFmtId="0" fontId="9" fillId="2" borderId="102" xfId="0" applyFont="1" applyFill="1" applyBorder="1" applyAlignment="1" applyProtection="1">
      <alignment vertical="center" shrinkToFit="1"/>
      <protection locked="0"/>
    </xf>
    <xf numFmtId="0" fontId="9" fillId="2" borderId="66" xfId="0" applyFont="1" applyFill="1" applyBorder="1" applyAlignment="1" applyProtection="1">
      <alignment horizontal="center" vertical="center" shrinkToFit="1"/>
      <protection locked="0"/>
    </xf>
    <xf numFmtId="177" fontId="5" fillId="0" borderId="64" xfId="0" applyNumberFormat="1" applyFont="1" applyBorder="1" applyAlignment="1">
      <alignment horizontal="center" vertical="center"/>
    </xf>
    <xf numFmtId="177" fontId="5" fillId="0" borderId="65" xfId="0" applyNumberFormat="1" applyFont="1" applyBorder="1" applyAlignment="1">
      <alignment horizontal="center" vertical="center"/>
    </xf>
    <xf numFmtId="0" fontId="9" fillId="2" borderId="64" xfId="0" applyFont="1" applyFill="1" applyBorder="1" applyAlignment="1" applyProtection="1">
      <alignment vertical="center" shrinkToFit="1"/>
      <protection locked="0"/>
    </xf>
    <xf numFmtId="0" fontId="9" fillId="2" borderId="99" xfId="0" applyFont="1" applyFill="1" applyBorder="1" applyAlignment="1" applyProtection="1">
      <alignment vertical="center" shrinkToFit="1"/>
      <protection locked="0"/>
    </xf>
    <xf numFmtId="0" fontId="9" fillId="2" borderId="100" xfId="0" applyFont="1" applyFill="1" applyBorder="1" applyAlignment="1" applyProtection="1">
      <alignment vertical="center" shrinkToFit="1"/>
      <protection locked="0"/>
    </xf>
    <xf numFmtId="177" fontId="5" fillId="0" borderId="115" xfId="0" applyNumberFormat="1" applyFont="1" applyBorder="1" applyAlignment="1">
      <alignment horizontal="center" vertical="center"/>
    </xf>
    <xf numFmtId="177" fontId="5" fillId="0" borderId="116" xfId="0" applyNumberFormat="1" applyFont="1" applyBorder="1" applyAlignment="1">
      <alignment horizontal="center" vertical="center"/>
    </xf>
    <xf numFmtId="1" fontId="9" fillId="2" borderId="64" xfId="0" applyNumberFormat="1" applyFont="1" applyFill="1" applyBorder="1" applyAlignment="1" applyProtection="1">
      <alignment horizontal="center" vertical="center" shrinkToFit="1"/>
      <protection locked="0"/>
    </xf>
    <xf numFmtId="1" fontId="9" fillId="2" borderId="65" xfId="0" applyNumberFormat="1" applyFont="1" applyFill="1" applyBorder="1" applyAlignment="1" applyProtection="1">
      <alignment horizontal="center" vertical="center" shrinkToFit="1"/>
      <protection locked="0"/>
    </xf>
    <xf numFmtId="0" fontId="9" fillId="2" borderId="106" xfId="0" applyFont="1" applyFill="1" applyBorder="1" applyAlignment="1" applyProtection="1">
      <alignment horizontal="center" vertical="center" shrinkToFit="1"/>
      <protection locked="0"/>
    </xf>
    <xf numFmtId="0" fontId="9" fillId="2" borderId="91" xfId="0" applyFont="1" applyFill="1" applyBorder="1" applyAlignment="1" applyProtection="1">
      <alignment horizontal="center" vertical="center" shrinkToFit="1"/>
      <protection locked="0"/>
    </xf>
    <xf numFmtId="0" fontId="9" fillId="2" borderId="107" xfId="0" applyFont="1" applyFill="1" applyBorder="1" applyAlignment="1" applyProtection="1">
      <alignment horizontal="center" vertical="center" shrinkToFit="1"/>
      <protection locked="0"/>
    </xf>
    <xf numFmtId="0" fontId="9" fillId="2" borderId="85" xfId="0" applyFont="1" applyFill="1" applyBorder="1" applyAlignment="1" applyProtection="1">
      <alignment horizontal="center" vertical="center" shrinkToFit="1"/>
      <protection locked="0"/>
    </xf>
    <xf numFmtId="0" fontId="9" fillId="2" borderId="108" xfId="0" applyFont="1" applyFill="1" applyBorder="1" applyAlignment="1" applyProtection="1">
      <alignment horizontal="center" vertical="center" shrinkToFit="1"/>
      <protection locked="0"/>
    </xf>
    <xf numFmtId="0" fontId="9" fillId="2" borderId="84" xfId="0" applyFont="1" applyFill="1" applyBorder="1" applyAlignment="1" applyProtection="1">
      <alignment horizontal="center" vertical="center" shrinkToFit="1"/>
      <protection locked="0"/>
    </xf>
    <xf numFmtId="0" fontId="9" fillId="2" borderId="105" xfId="0" applyFont="1" applyFill="1" applyBorder="1" applyAlignment="1" applyProtection="1">
      <alignment horizontal="center" vertical="center" shrinkToFit="1"/>
      <protection locked="0"/>
    </xf>
    <xf numFmtId="0" fontId="9" fillId="2" borderId="109" xfId="0" applyFont="1" applyFill="1" applyBorder="1" applyAlignment="1" applyProtection="1">
      <alignment horizontal="center" vertical="center" shrinkToFit="1"/>
      <protection locked="0"/>
    </xf>
    <xf numFmtId="0" fontId="9" fillId="2" borderId="110" xfId="0" applyFont="1" applyFill="1" applyBorder="1" applyAlignment="1" applyProtection="1">
      <alignment horizontal="center" vertical="center" shrinkToFit="1"/>
      <protection locked="0"/>
    </xf>
    <xf numFmtId="0" fontId="9" fillId="2" borderId="111" xfId="0" applyFont="1" applyFill="1" applyBorder="1" applyAlignment="1" applyProtection="1">
      <alignment horizontal="center" vertical="center" shrinkToFit="1"/>
      <protection locked="0"/>
    </xf>
    <xf numFmtId="0" fontId="9" fillId="2" borderId="83" xfId="0" applyFont="1" applyFill="1" applyBorder="1" applyAlignment="1" applyProtection="1">
      <alignment horizontal="center" vertical="center" shrinkToFit="1"/>
      <protection locked="0"/>
    </xf>
    <xf numFmtId="177" fontId="5" fillId="0" borderId="69" xfId="0" applyNumberFormat="1" applyFont="1" applyBorder="1" applyAlignment="1">
      <alignment horizontal="center" vertical="center"/>
    </xf>
    <xf numFmtId="177" fontId="5" fillId="0" borderId="70" xfId="0" applyNumberFormat="1" applyFont="1" applyBorder="1" applyAlignment="1">
      <alignment horizontal="center" vertical="center"/>
    </xf>
    <xf numFmtId="178" fontId="5" fillId="0" borderId="72" xfId="0" applyNumberFormat="1" applyFont="1" applyBorder="1" applyAlignment="1">
      <alignment horizontal="center" vertical="center"/>
    </xf>
    <xf numFmtId="0" fontId="9" fillId="2" borderId="71" xfId="0" applyFont="1" applyFill="1" applyBorder="1" applyAlignment="1" applyProtection="1">
      <alignment vertical="center" shrinkToFit="1"/>
      <protection locked="0"/>
    </xf>
    <xf numFmtId="0" fontId="9" fillId="2" borderId="101" xfId="0" applyFont="1" applyFill="1" applyBorder="1" applyAlignment="1" applyProtection="1">
      <alignment vertical="center" shrinkToFit="1"/>
      <protection locked="0"/>
    </xf>
    <xf numFmtId="0" fontId="9" fillId="2" borderId="73" xfId="0" applyFont="1" applyFill="1" applyBorder="1" applyAlignment="1" applyProtection="1">
      <alignment vertical="center" shrinkToFit="1"/>
      <protection locked="0"/>
    </xf>
    <xf numFmtId="0" fontId="9" fillId="2" borderId="104" xfId="0" applyFont="1" applyFill="1" applyBorder="1" applyAlignment="1" applyProtection="1">
      <alignment horizontal="center" vertical="center" shrinkToFit="1"/>
      <protection locked="0"/>
    </xf>
    <xf numFmtId="0" fontId="9" fillId="2" borderId="125" xfId="0" applyFont="1" applyFill="1" applyBorder="1" applyAlignment="1" applyProtection="1">
      <alignment horizontal="center" vertical="center" shrinkToFit="1"/>
      <protection locked="0"/>
    </xf>
    <xf numFmtId="177" fontId="5" fillId="0" borderId="71" xfId="0" applyNumberFormat="1" applyFont="1" applyBorder="1" applyAlignment="1">
      <alignment horizontal="center" vertical="center"/>
    </xf>
    <xf numFmtId="177" fontId="5" fillId="0" borderId="72" xfId="0" applyNumberFormat="1" applyFont="1" applyBorder="1" applyAlignment="1">
      <alignment horizontal="center" vertical="center"/>
    </xf>
    <xf numFmtId="1" fontId="9" fillId="2" borderId="69" xfId="0" applyNumberFormat="1" applyFont="1" applyFill="1" applyBorder="1" applyAlignment="1" applyProtection="1">
      <alignment horizontal="center" vertical="center" shrinkToFit="1"/>
      <protection locked="0"/>
    </xf>
    <xf numFmtId="1" fontId="9" fillId="2" borderId="70" xfId="0" applyNumberFormat="1" applyFont="1" applyFill="1" applyBorder="1" applyAlignment="1" applyProtection="1">
      <alignment horizontal="center" vertical="center" shrinkToFit="1"/>
      <protection locked="0"/>
    </xf>
    <xf numFmtId="1" fontId="9" fillId="2" borderId="115" xfId="0" applyNumberFormat="1" applyFont="1" applyFill="1" applyBorder="1" applyAlignment="1" applyProtection="1">
      <alignment horizontal="center" vertical="center" shrinkToFit="1"/>
      <protection locked="0"/>
    </xf>
    <xf numFmtId="1" fontId="9" fillId="2" borderId="116" xfId="0" applyNumberFormat="1" applyFont="1" applyFill="1" applyBorder="1" applyAlignment="1" applyProtection="1">
      <alignment horizontal="center" vertical="center" shrinkToFit="1"/>
      <protection locked="0"/>
    </xf>
    <xf numFmtId="0" fontId="0" fillId="0" borderId="112"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xf>
    <xf numFmtId="0" fontId="0" fillId="0" borderId="4" xfId="0" applyBorder="1" applyAlignment="1">
      <alignment horizontal="center"/>
    </xf>
    <xf numFmtId="0" fontId="0" fillId="0" borderId="49" xfId="0" applyBorder="1" applyAlignment="1">
      <alignment horizontal="center"/>
    </xf>
    <xf numFmtId="0" fontId="9" fillId="2" borderId="89" xfId="0" applyFont="1" applyFill="1" applyBorder="1" applyAlignment="1" applyProtection="1">
      <alignment horizontal="center" vertical="center" shrinkToFit="1"/>
      <protection locked="0"/>
    </xf>
    <xf numFmtId="178" fontId="5" fillId="0" borderId="115" xfId="0" applyNumberFormat="1" applyFont="1" applyBorder="1" applyAlignment="1">
      <alignment horizontal="center" vertical="center"/>
    </xf>
    <xf numFmtId="178" fontId="5" fillId="0" borderId="116" xfId="0" applyNumberFormat="1" applyFont="1" applyBorder="1" applyAlignment="1">
      <alignment horizontal="center" vertical="center"/>
    </xf>
    <xf numFmtId="0" fontId="9" fillId="2" borderId="42" xfId="0" applyFont="1" applyFill="1" applyBorder="1" applyAlignment="1" applyProtection="1">
      <alignment horizontal="center" vertical="center" shrinkToFit="1"/>
      <protection locked="0"/>
    </xf>
    <xf numFmtId="0" fontId="9" fillId="2" borderId="55" xfId="0" applyFont="1" applyFill="1" applyBorder="1" applyAlignment="1" applyProtection="1">
      <alignment horizontal="center" vertical="center" shrinkToFit="1"/>
      <protection locked="0"/>
    </xf>
    <xf numFmtId="0" fontId="9" fillId="2" borderId="32" xfId="0" applyFont="1" applyFill="1" applyBorder="1" applyAlignment="1" applyProtection="1">
      <alignment horizontal="center" vertical="center" shrinkToFit="1"/>
      <protection locked="0"/>
    </xf>
    <xf numFmtId="0" fontId="9" fillId="2" borderId="74" xfId="0" applyFont="1" applyFill="1" applyBorder="1" applyAlignment="1" applyProtection="1">
      <alignment horizontal="center" vertical="center" shrinkToFit="1"/>
      <protection locked="0"/>
    </xf>
    <xf numFmtId="178" fontId="5" fillId="0" borderId="69" xfId="0" applyNumberFormat="1" applyFont="1" applyBorder="1" applyAlignment="1">
      <alignment horizontal="center" vertical="center"/>
    </xf>
    <xf numFmtId="178" fontId="5" fillId="0" borderId="70" xfId="0" applyNumberFormat="1" applyFont="1" applyBorder="1" applyAlignment="1">
      <alignment horizontal="center" vertical="center"/>
    </xf>
    <xf numFmtId="0" fontId="5" fillId="0" borderId="27"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8" xfId="0" applyFont="1" applyBorder="1" applyAlignment="1">
      <alignment horizontal="center" vertical="center" wrapText="1"/>
    </xf>
    <xf numFmtId="1" fontId="9" fillId="2" borderId="58" xfId="0" applyNumberFormat="1" applyFont="1" applyFill="1" applyBorder="1" applyAlignment="1" applyProtection="1">
      <alignment horizontal="center" vertical="center" shrinkToFit="1"/>
      <protection locked="0"/>
    </xf>
    <xf numFmtId="1" fontId="9" fillId="2" borderId="59" xfId="0" applyNumberFormat="1" applyFont="1" applyFill="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5" fillId="0" borderId="38" xfId="0" applyFont="1" applyBorder="1" applyAlignment="1">
      <alignment vertical="center"/>
    </xf>
    <xf numFmtId="0" fontId="5" fillId="0" borderId="7" xfId="0" applyFont="1" applyBorder="1" applyAlignment="1">
      <alignment vertical="center"/>
    </xf>
    <xf numFmtId="0" fontId="5" fillId="0" borderId="15" xfId="0" applyFont="1" applyBorder="1" applyAlignment="1">
      <alignment vertical="center"/>
    </xf>
    <xf numFmtId="0" fontId="8" fillId="0" borderId="42" xfId="0" applyFont="1" applyBorder="1" applyAlignment="1">
      <alignment horizontal="center" vertical="center" textRotation="255" shrinkToFit="1"/>
    </xf>
    <xf numFmtId="0" fontId="8" fillId="0" borderId="27" xfId="0" applyFont="1" applyBorder="1" applyAlignment="1">
      <alignment horizontal="center" vertical="center" textRotation="255" shrinkToFit="1"/>
    </xf>
    <xf numFmtId="0" fontId="8" fillId="0" borderId="55" xfId="0" applyFont="1" applyBorder="1" applyAlignment="1">
      <alignment horizontal="center" vertical="center" textRotation="255" shrinkToFit="1"/>
    </xf>
    <xf numFmtId="0" fontId="8" fillId="0" borderId="103" xfId="0" applyFont="1" applyBorder="1" applyAlignment="1">
      <alignment horizontal="center" vertical="center" textRotation="255" shrinkToFit="1"/>
    </xf>
    <xf numFmtId="0" fontId="8" fillId="0" borderId="3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11" fillId="0" borderId="8" xfId="0" applyFont="1" applyBorder="1" applyAlignment="1">
      <alignment horizontal="center" vertical="center" shrinkToFit="1"/>
    </xf>
    <xf numFmtId="0" fontId="11" fillId="0" borderId="16" xfId="0" applyFont="1" applyBorder="1" applyAlignment="1">
      <alignment horizontal="center" vertical="center"/>
    </xf>
    <xf numFmtId="0" fontId="5" fillId="0" borderId="39"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178" fontId="5" fillId="0" borderId="118" xfId="0" applyNumberFormat="1" applyFont="1" applyBorder="1" applyAlignment="1">
      <alignment horizontal="center" vertical="center"/>
    </xf>
    <xf numFmtId="178" fontId="9" fillId="2" borderId="56" xfId="0" applyNumberFormat="1" applyFont="1" applyFill="1" applyBorder="1" applyAlignment="1" applyProtection="1">
      <alignment horizontal="center" vertical="center"/>
      <protection locked="0"/>
    </xf>
    <xf numFmtId="178" fontId="9" fillId="2" borderId="57" xfId="0" applyNumberFormat="1" applyFont="1" applyFill="1" applyBorder="1" applyAlignment="1" applyProtection="1">
      <alignment horizontal="center" vertical="center"/>
      <protection locked="0"/>
    </xf>
    <xf numFmtId="178" fontId="5" fillId="0" borderId="100" xfId="0" applyNumberFormat="1" applyFont="1" applyBorder="1" applyAlignment="1">
      <alignment horizontal="center" vertical="center"/>
    </xf>
    <xf numFmtId="178" fontId="9" fillId="2" borderId="58" xfId="0" applyNumberFormat="1" applyFont="1" applyFill="1" applyBorder="1" applyAlignment="1" applyProtection="1">
      <alignment horizontal="center" vertical="center"/>
      <protection locked="0"/>
    </xf>
    <xf numFmtId="178" fontId="9" fillId="2" borderId="59" xfId="0" applyNumberFormat="1" applyFont="1" applyFill="1" applyBorder="1" applyAlignment="1" applyProtection="1">
      <alignment horizontal="center" vertical="center"/>
      <protection locked="0"/>
    </xf>
    <xf numFmtId="178" fontId="9" fillId="2" borderId="64" xfId="0" applyNumberFormat="1" applyFont="1" applyFill="1" applyBorder="1" applyAlignment="1" applyProtection="1">
      <alignment horizontal="center" vertical="center"/>
      <protection locked="0"/>
    </xf>
    <xf numFmtId="178" fontId="9" fillId="2" borderId="65" xfId="0" applyNumberFormat="1" applyFont="1" applyFill="1" applyBorder="1" applyAlignment="1" applyProtection="1">
      <alignment horizontal="center" vertical="center"/>
      <protection locked="0"/>
    </xf>
    <xf numFmtId="178" fontId="9" fillId="2" borderId="69" xfId="0" applyNumberFormat="1" applyFont="1" applyFill="1" applyBorder="1" applyAlignment="1" applyProtection="1">
      <alignment horizontal="center" vertical="center"/>
      <protection locked="0"/>
    </xf>
    <xf numFmtId="178" fontId="9" fillId="2" borderId="7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wrapText="1"/>
    </xf>
    <xf numFmtId="0" fontId="15" fillId="0" borderId="30" xfId="0" applyFont="1" applyBorder="1" applyAlignment="1">
      <alignment horizontal="center" vertical="center"/>
    </xf>
    <xf numFmtId="0" fontId="15" fillId="0" borderId="36" xfId="0" applyFont="1" applyBorder="1" applyAlignment="1">
      <alignment horizontal="center" vertical="center" wrapText="1"/>
    </xf>
    <xf numFmtId="0" fontId="15" fillId="0" borderId="36" xfId="0" applyFont="1" applyBorder="1" applyAlignment="1">
      <alignment horizontal="center" vertical="center"/>
    </xf>
    <xf numFmtId="0" fontId="15" fillId="0" borderId="17" xfId="0" applyFont="1" applyBorder="1" applyAlignment="1">
      <alignment horizontal="center" vertical="center"/>
    </xf>
    <xf numFmtId="49" fontId="10" fillId="2" borderId="59" xfId="0" applyNumberFormat="1" applyFont="1" applyFill="1" applyBorder="1" applyAlignment="1" applyProtection="1">
      <alignment horizontal="center" vertical="center" shrinkToFit="1"/>
      <protection locked="0"/>
    </xf>
    <xf numFmtId="0" fontId="9" fillId="2" borderId="58" xfId="1" applyNumberFormat="1" applyFont="1" applyFill="1" applyBorder="1" applyAlignment="1" applyProtection="1">
      <alignment horizontal="center" vertical="center"/>
      <protection locked="0"/>
    </xf>
    <xf numFmtId="0" fontId="9" fillId="2" borderId="78" xfId="1" applyNumberFormat="1" applyFont="1" applyFill="1" applyBorder="1" applyAlignment="1" applyProtection="1">
      <alignment horizontal="center" vertical="center"/>
      <protection locked="0"/>
    </xf>
    <xf numFmtId="0" fontId="9" fillId="2" borderId="79" xfId="1" applyNumberFormat="1" applyFont="1" applyFill="1" applyBorder="1" applyAlignment="1" applyProtection="1">
      <alignment horizontal="center" vertical="center"/>
      <protection locked="0"/>
    </xf>
    <xf numFmtId="0" fontId="9" fillId="2" borderId="114" xfId="1" applyNumberFormat="1" applyFont="1" applyFill="1" applyBorder="1" applyAlignment="1" applyProtection="1">
      <alignment horizontal="center" vertical="center"/>
      <protection locked="0"/>
    </xf>
    <xf numFmtId="0" fontId="9" fillId="2" borderId="59" xfId="1" applyNumberFormat="1"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49" fontId="10" fillId="2" borderId="65" xfId="0" applyNumberFormat="1" applyFont="1" applyFill="1" applyBorder="1" applyAlignment="1" applyProtection="1">
      <alignment horizontal="center" vertical="center" shrinkToFit="1"/>
      <protection locked="0"/>
    </xf>
    <xf numFmtId="0" fontId="9" fillId="2" borderId="64" xfId="1" applyNumberFormat="1" applyFont="1" applyFill="1" applyBorder="1" applyAlignment="1" applyProtection="1">
      <alignment horizontal="center" vertical="center"/>
      <protection locked="0"/>
    </xf>
    <xf numFmtId="0" fontId="9" fillId="2" borderId="99" xfId="1" applyNumberFormat="1" applyFont="1" applyFill="1" applyBorder="1" applyAlignment="1" applyProtection="1">
      <alignment horizontal="center" vertical="center"/>
      <protection locked="0"/>
    </xf>
    <xf numFmtId="0" fontId="9" fillId="2" borderId="87" xfId="1" applyNumberFormat="1" applyFont="1" applyFill="1" applyBorder="1" applyAlignment="1" applyProtection="1">
      <alignment horizontal="center" vertical="center"/>
      <protection locked="0"/>
    </xf>
    <xf numFmtId="0" fontId="9" fillId="2" borderId="88" xfId="1" applyNumberFormat="1" applyFont="1" applyFill="1" applyBorder="1" applyAlignment="1" applyProtection="1">
      <alignment horizontal="center" vertical="center"/>
      <protection locked="0"/>
    </xf>
    <xf numFmtId="0" fontId="9" fillId="2" borderId="65" xfId="1" applyNumberFormat="1" applyFont="1" applyFill="1" applyBorder="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5" fillId="0" borderId="43" xfId="0" applyFont="1" applyBorder="1" applyAlignment="1">
      <alignment horizontal="center" vertical="center"/>
    </xf>
    <xf numFmtId="0" fontId="9" fillId="2" borderId="71" xfId="1" applyNumberFormat="1" applyFont="1" applyFill="1" applyBorder="1" applyAlignment="1" applyProtection="1">
      <alignment horizontal="center" vertical="center"/>
      <protection locked="0"/>
    </xf>
    <xf numFmtId="0" fontId="9" fillId="2" borderId="101" xfId="1" applyNumberFormat="1" applyFont="1" applyFill="1" applyBorder="1" applyAlignment="1" applyProtection="1">
      <alignment horizontal="center" vertical="center"/>
      <protection locked="0"/>
    </xf>
    <xf numFmtId="0" fontId="9" fillId="2" borderId="117" xfId="1" applyNumberFormat="1" applyFont="1" applyFill="1" applyBorder="1" applyAlignment="1" applyProtection="1">
      <alignment horizontal="center" vertical="center"/>
      <protection locked="0"/>
    </xf>
    <xf numFmtId="0" fontId="9" fillId="2" borderId="113" xfId="1" applyNumberFormat="1" applyFont="1" applyFill="1" applyBorder="1" applyAlignment="1" applyProtection="1">
      <alignment horizontal="center" vertical="center"/>
      <protection locked="0"/>
    </xf>
    <xf numFmtId="0" fontId="9" fillId="2" borderId="72" xfId="1" applyNumberFormat="1" applyFont="1" applyFill="1" applyBorder="1" applyAlignment="1" applyProtection="1">
      <alignment horizontal="center" vertical="center"/>
      <protection locked="0"/>
    </xf>
    <xf numFmtId="0" fontId="5" fillId="0" borderId="81" xfId="0" applyFont="1" applyBorder="1" applyAlignment="1">
      <alignment horizontal="center" vertical="center"/>
    </xf>
    <xf numFmtId="0" fontId="5" fillId="0" borderId="140" xfId="0" applyFont="1" applyBorder="1" applyAlignment="1">
      <alignment horizontal="center" vertical="center"/>
    </xf>
    <xf numFmtId="0" fontId="5" fillId="0" borderId="82" xfId="0" applyFont="1" applyBorder="1" applyAlignment="1">
      <alignment horizontal="center" vertical="center"/>
    </xf>
    <xf numFmtId="38" fontId="5" fillId="0" borderId="44" xfId="1" applyFont="1" applyFill="1" applyBorder="1" applyAlignment="1">
      <alignment horizontal="center" vertical="center"/>
    </xf>
    <xf numFmtId="38" fontId="5" fillId="0" borderId="7" xfId="1" applyFont="1" applyFill="1" applyBorder="1" applyAlignment="1">
      <alignment horizontal="center" vertical="center"/>
    </xf>
    <xf numFmtId="38" fontId="5" fillId="0" borderId="26" xfId="1" applyFont="1" applyFill="1" applyBorder="1" applyAlignment="1">
      <alignment horizontal="center" vertical="center"/>
    </xf>
    <xf numFmtId="49" fontId="9" fillId="2" borderId="81" xfId="0" applyNumberFormat="1" applyFont="1" applyFill="1" applyBorder="1" applyAlignment="1" applyProtection="1">
      <alignment horizontal="center" vertical="center" shrinkToFit="1"/>
      <protection locked="0"/>
    </xf>
    <xf numFmtId="49" fontId="9" fillId="2" borderId="30" xfId="0" applyNumberFormat="1"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9" fillId="2" borderId="31" xfId="0" applyFont="1" applyFill="1" applyBorder="1" applyAlignment="1" applyProtection="1">
      <alignment horizontal="center" vertical="center" shrinkToFit="1"/>
      <protection locked="0"/>
    </xf>
    <xf numFmtId="49" fontId="9" fillId="2" borderId="121" xfId="0" applyNumberFormat="1" applyFont="1" applyFill="1" applyBorder="1" applyAlignment="1" applyProtection="1">
      <alignment horizontal="center" vertical="center" shrinkToFit="1"/>
      <protection locked="0"/>
    </xf>
    <xf numFmtId="49" fontId="9" fillId="2" borderId="25" xfId="0" applyNumberFormat="1"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9" fillId="2" borderId="25" xfId="0" applyFont="1" applyFill="1" applyBorder="1" applyAlignment="1" applyProtection="1">
      <alignment horizontal="center" vertical="center" shrinkToFit="1"/>
      <protection locked="0"/>
    </xf>
    <xf numFmtId="0" fontId="9" fillId="2" borderId="24" xfId="0" applyFont="1" applyFill="1" applyBorder="1" applyAlignment="1" applyProtection="1">
      <alignment horizontal="center" vertical="center" shrinkToFit="1"/>
      <protection locked="0"/>
    </xf>
    <xf numFmtId="0" fontId="52" fillId="0" borderId="40" xfId="0" applyFont="1" applyBorder="1" applyAlignment="1">
      <alignment horizontal="center" vertical="center"/>
    </xf>
    <xf numFmtId="0" fontId="52" fillId="0" borderId="4" xfId="0" applyFont="1" applyBorder="1" applyAlignment="1">
      <alignment horizontal="center" vertical="center"/>
    </xf>
    <xf numFmtId="0" fontId="52" fillId="0" borderId="49" xfId="0" applyFont="1" applyBorder="1" applyAlignment="1">
      <alignment horizontal="center" vertical="center"/>
    </xf>
    <xf numFmtId="0" fontId="5" fillId="3" borderId="42"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74" xfId="0" applyFont="1" applyFill="1" applyBorder="1" applyAlignment="1">
      <alignment horizontal="center" vertical="center"/>
    </xf>
    <xf numFmtId="0" fontId="5" fillId="0" borderId="29" xfId="0" applyFont="1" applyBorder="1" applyAlignment="1">
      <alignment horizontal="center" vertical="center"/>
    </xf>
    <xf numFmtId="0" fontId="5" fillId="3" borderId="69" xfId="0" applyFont="1" applyFill="1" applyBorder="1" applyAlignment="1">
      <alignment horizontal="center" vertical="center" wrapText="1"/>
    </xf>
    <xf numFmtId="0" fontId="5" fillId="3" borderId="27"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 xfId="0" applyFont="1" applyFill="1" applyBorder="1" applyAlignment="1">
      <alignment horizontal="center" vertical="center"/>
    </xf>
    <xf numFmtId="49" fontId="9" fillId="2" borderId="149" xfId="0" applyNumberFormat="1" applyFont="1" applyFill="1" applyBorder="1" applyAlignment="1" applyProtection="1">
      <alignment horizontal="center" vertical="center" shrinkToFit="1"/>
      <protection locked="0"/>
    </xf>
    <xf numFmtId="49" fontId="9" fillId="2" borderId="112" xfId="0" applyNumberFormat="1" applyFont="1" applyFill="1" applyBorder="1" applyAlignment="1" applyProtection="1">
      <alignment horizontal="center" vertical="center" shrinkToFit="1"/>
      <protection locked="0"/>
    </xf>
    <xf numFmtId="0" fontId="9" fillId="2" borderId="112" xfId="0" applyFont="1" applyFill="1" applyBorder="1" applyAlignment="1" applyProtection="1">
      <alignment horizontal="center" vertical="center" shrinkToFit="1"/>
      <protection locked="0"/>
    </xf>
    <xf numFmtId="0" fontId="9" fillId="2" borderId="150" xfId="0" applyFont="1" applyFill="1" applyBorder="1" applyAlignment="1" applyProtection="1">
      <alignment horizontal="center" vertical="center" shrinkToFit="1"/>
      <protection locked="0"/>
    </xf>
    <xf numFmtId="0" fontId="10" fillId="0" borderId="120" xfId="0" applyFont="1" applyBorder="1" applyAlignment="1">
      <alignment horizontal="center" vertical="center"/>
    </xf>
    <xf numFmtId="0" fontId="10" fillId="0" borderId="34" xfId="0" applyFont="1" applyBorder="1" applyAlignment="1">
      <alignment horizontal="center" vertical="center"/>
    </xf>
    <xf numFmtId="178" fontId="5" fillId="0" borderId="34" xfId="0" applyNumberFormat="1" applyFont="1" applyBorder="1" applyAlignment="1">
      <alignment horizontal="center" vertical="center"/>
    </xf>
    <xf numFmtId="178" fontId="5" fillId="0" borderId="35" xfId="0" applyNumberFormat="1" applyFont="1" applyBorder="1" applyAlignment="1">
      <alignment horizontal="center" vertical="center"/>
    </xf>
    <xf numFmtId="49" fontId="9" fillId="2" borderId="151" xfId="0" applyNumberFormat="1" applyFont="1" applyFill="1" applyBorder="1" applyAlignment="1" applyProtection="1">
      <alignment horizontal="center" vertical="center" shrinkToFit="1"/>
      <protection locked="0"/>
    </xf>
    <xf numFmtId="49" fontId="9" fillId="2" borderId="141" xfId="0" applyNumberFormat="1" applyFont="1" applyFill="1" applyBorder="1" applyAlignment="1" applyProtection="1">
      <alignment horizontal="center" vertical="center" shrinkToFit="1"/>
      <protection locked="0"/>
    </xf>
    <xf numFmtId="0" fontId="9" fillId="2" borderId="141" xfId="0" applyFont="1" applyFill="1" applyBorder="1" applyAlignment="1" applyProtection="1">
      <alignment horizontal="center" vertical="center" shrinkToFit="1"/>
      <protection locked="0"/>
    </xf>
    <xf numFmtId="0" fontId="9" fillId="2" borderId="148" xfId="0" applyFont="1" applyFill="1" applyBorder="1" applyAlignment="1" applyProtection="1">
      <alignment horizontal="center" vertical="center" shrinkToFit="1"/>
      <protection locked="0"/>
    </xf>
    <xf numFmtId="49" fontId="19" fillId="0" borderId="119" xfId="0" applyNumberFormat="1" applyFont="1" applyBorder="1" applyAlignment="1">
      <alignment horizontal="center" vertical="center"/>
    </xf>
    <xf numFmtId="49" fontId="19" fillId="0" borderId="57" xfId="0" applyNumberFormat="1" applyFont="1" applyBorder="1" applyAlignment="1">
      <alignment horizontal="center" vertical="center"/>
    </xf>
    <xf numFmtId="49" fontId="19" fillId="0" borderId="64" xfId="0" applyNumberFormat="1" applyFont="1" applyBorder="1" applyAlignment="1">
      <alignment horizontal="center" vertical="center"/>
    </xf>
    <xf numFmtId="49" fontId="19" fillId="0" borderId="99" xfId="0" applyNumberFormat="1" applyFont="1" applyBorder="1" applyAlignment="1">
      <alignment horizontal="center" vertical="center"/>
    </xf>
    <xf numFmtId="49" fontId="19" fillId="0" borderId="65" xfId="0" applyNumberFormat="1" applyFont="1" applyBorder="1" applyAlignment="1">
      <alignment horizontal="center" vertical="center"/>
    </xf>
    <xf numFmtId="0" fontId="9" fillId="2" borderId="99" xfId="0" applyFont="1" applyFill="1" applyBorder="1" applyAlignment="1" applyProtection="1">
      <alignment horizontal="center" vertical="center" shrinkToFit="1"/>
      <protection locked="0"/>
    </xf>
    <xf numFmtId="178" fontId="9" fillId="2" borderId="99" xfId="0" applyNumberFormat="1" applyFont="1" applyFill="1" applyBorder="1" applyAlignment="1" applyProtection="1">
      <alignment horizontal="center" vertical="center" shrinkToFit="1"/>
      <protection locked="0"/>
    </xf>
    <xf numFmtId="178" fontId="5" fillId="0" borderId="99" xfId="0" applyNumberFormat="1" applyFont="1" applyBorder="1" applyAlignment="1">
      <alignment horizontal="center" vertical="center"/>
    </xf>
    <xf numFmtId="49" fontId="19" fillId="0" borderId="42" xfId="0" applyNumberFormat="1" applyFont="1" applyBorder="1" applyAlignment="1">
      <alignment horizontal="center" vertical="center"/>
    </xf>
    <xf numFmtId="49" fontId="19" fillId="0" borderId="70" xfId="0" applyNumberFormat="1" applyFont="1" applyBorder="1" applyAlignment="1">
      <alignment horizontal="center" vertical="center"/>
    </xf>
    <xf numFmtId="49" fontId="19" fillId="0" borderId="69" xfId="0" applyNumberFormat="1" applyFont="1" applyBorder="1" applyAlignment="1">
      <alignment horizontal="center" vertical="center"/>
    </xf>
    <xf numFmtId="49" fontId="19" fillId="0" borderId="9" xfId="0" applyNumberFormat="1" applyFont="1" applyBorder="1" applyAlignment="1">
      <alignment horizontal="center" vertical="center"/>
    </xf>
    <xf numFmtId="178" fontId="5" fillId="0" borderId="9" xfId="0" applyNumberFormat="1" applyFont="1" applyBorder="1" applyAlignment="1">
      <alignment horizontal="center" vertical="center"/>
    </xf>
    <xf numFmtId="178" fontId="5" fillId="0" borderId="27" xfId="0" applyNumberFormat="1" applyFont="1" applyBorder="1" applyAlignment="1">
      <alignment horizontal="center" vertical="center"/>
    </xf>
    <xf numFmtId="49" fontId="19" fillId="0" borderId="68" xfId="0" applyNumberFormat="1" applyFont="1" applyBorder="1" applyAlignment="1">
      <alignment horizontal="center" vertical="center"/>
    </xf>
    <xf numFmtId="49" fontId="19" fillId="0" borderId="152" xfId="0" applyNumberFormat="1" applyFont="1" applyBorder="1" applyAlignment="1">
      <alignment horizontal="center" vertical="center"/>
    </xf>
    <xf numFmtId="49" fontId="19" fillId="0" borderId="66" xfId="0" applyNumberFormat="1" applyFont="1" applyBorder="1" applyAlignment="1">
      <alignment horizontal="center" vertical="center"/>
    </xf>
    <xf numFmtId="178" fontId="9" fillId="2" borderId="66" xfId="0" applyNumberFormat="1" applyFont="1" applyFill="1" applyBorder="1" applyAlignment="1" applyProtection="1">
      <alignment horizontal="center" vertical="center" shrinkToFit="1"/>
      <protection locked="0"/>
    </xf>
    <xf numFmtId="49" fontId="19" fillId="0" borderId="55" xfId="0" applyNumberFormat="1" applyFont="1" applyBorder="1" applyAlignment="1">
      <alignment horizontal="center" vertical="center"/>
    </xf>
    <xf numFmtId="49" fontId="19" fillId="0" borderId="61" xfId="0" applyNumberFormat="1" applyFont="1" applyBorder="1" applyAlignment="1">
      <alignment horizontal="center" vertical="center"/>
    </xf>
    <xf numFmtId="49" fontId="19" fillId="0" borderId="60" xfId="0" applyNumberFormat="1" applyFont="1" applyBorder="1" applyAlignment="1">
      <alignment horizontal="center" vertical="center"/>
    </xf>
    <xf numFmtId="49" fontId="19" fillId="0" borderId="0" xfId="0" applyNumberFormat="1" applyFont="1" applyAlignment="1">
      <alignment horizontal="center" vertical="center"/>
    </xf>
    <xf numFmtId="0" fontId="9" fillId="2" borderId="3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178" fontId="9" fillId="2" borderId="33" xfId="0" applyNumberFormat="1" applyFont="1" applyFill="1" applyBorder="1" applyAlignment="1" applyProtection="1">
      <alignment horizontal="center" vertical="center" shrinkToFit="1"/>
      <protection locked="0"/>
    </xf>
    <xf numFmtId="178" fontId="9" fillId="2" borderId="2" xfId="0" applyNumberFormat="1" applyFont="1" applyFill="1" applyBorder="1" applyAlignment="1" applyProtection="1">
      <alignment horizontal="center" vertical="center" shrinkToFit="1"/>
      <protection locked="0"/>
    </xf>
    <xf numFmtId="178" fontId="9" fillId="2" borderId="74" xfId="0" applyNumberFormat="1" applyFont="1" applyFill="1" applyBorder="1" applyAlignment="1" applyProtection="1">
      <alignment horizontal="center" vertical="center" shrinkToFit="1"/>
      <protection locked="0"/>
    </xf>
    <xf numFmtId="178" fontId="5" fillId="0" borderId="131" xfId="0" applyNumberFormat="1" applyFont="1" applyBorder="1" applyAlignment="1">
      <alignment horizontal="center" vertical="center"/>
    </xf>
    <xf numFmtId="178" fontId="5" fillId="0" borderId="153" xfId="0" applyNumberFormat="1" applyFont="1" applyBorder="1" applyAlignment="1">
      <alignment horizontal="center" vertical="center"/>
    </xf>
    <xf numFmtId="0" fontId="9" fillId="0" borderId="63" xfId="0" applyFont="1" applyBorder="1" applyAlignment="1">
      <alignment horizontal="center" vertical="center" shrinkToFit="1"/>
    </xf>
    <xf numFmtId="0" fontId="9" fillId="0" borderId="34" xfId="0" applyFont="1" applyBorder="1" applyAlignment="1">
      <alignment horizontal="center" vertical="center" shrinkToFit="1"/>
    </xf>
    <xf numFmtId="0" fontId="5" fillId="0" borderId="18" xfId="0" applyFont="1" applyBorder="1" applyAlignment="1">
      <alignment horizontal="center" vertical="center" wrapText="1"/>
    </xf>
    <xf numFmtId="0" fontId="5" fillId="0" borderId="141" xfId="0" applyFont="1" applyBorder="1" applyAlignment="1">
      <alignment horizontal="center" vertical="center" wrapText="1"/>
    </xf>
    <xf numFmtId="0" fontId="42" fillId="0" borderId="0" xfId="6" applyFont="1" applyAlignment="1">
      <alignment horizontal="center" vertical="center"/>
    </xf>
    <xf numFmtId="49" fontId="9" fillId="2" borderId="101" xfId="0" applyNumberFormat="1" applyFont="1" applyFill="1" applyBorder="1" applyAlignment="1" applyProtection="1">
      <alignment horizontal="center" vertical="center" shrinkToFit="1"/>
      <protection locked="0"/>
    </xf>
    <xf numFmtId="178" fontId="5" fillId="0" borderId="154" xfId="0" applyNumberFormat="1" applyFont="1" applyBorder="1" applyAlignment="1">
      <alignment horizontal="center" vertical="center"/>
    </xf>
    <xf numFmtId="49" fontId="9" fillId="2" borderId="99" xfId="0" applyNumberFormat="1" applyFont="1" applyFill="1" applyBorder="1" applyAlignment="1" applyProtection="1">
      <alignment horizontal="center" vertical="center" shrinkToFit="1"/>
      <protection locked="0"/>
    </xf>
    <xf numFmtId="0" fontId="9" fillId="0" borderId="22" xfId="0" applyFont="1" applyBorder="1" applyAlignment="1">
      <alignment horizontal="center" vertical="center" shrinkToFit="1"/>
    </xf>
    <xf numFmtId="0" fontId="9" fillId="0" borderId="20" xfId="0" applyFont="1" applyBorder="1" applyAlignment="1">
      <alignment horizontal="center" vertical="center" shrinkToFit="1"/>
    </xf>
    <xf numFmtId="49" fontId="9" fillId="2" borderId="78" xfId="0" applyNumberFormat="1" applyFont="1" applyFill="1" applyBorder="1" applyAlignment="1" applyProtection="1">
      <alignment horizontal="center" vertical="center" shrinkToFit="1"/>
      <protection locked="0"/>
    </xf>
    <xf numFmtId="178" fontId="5" fillId="0" borderId="104" xfId="0" applyNumberFormat="1" applyFont="1" applyBorder="1" applyAlignment="1">
      <alignment horizontal="center" vertical="center"/>
    </xf>
    <xf numFmtId="178" fontId="5" fillId="0" borderId="155" xfId="0" applyNumberFormat="1" applyFont="1" applyBorder="1" applyAlignment="1">
      <alignment horizontal="center" vertical="center"/>
    </xf>
    <xf numFmtId="0" fontId="9" fillId="2" borderId="76" xfId="5" applyFont="1" applyFill="1" applyBorder="1" applyAlignment="1" applyProtection="1">
      <alignment horizontal="center" vertical="center" shrinkToFit="1"/>
      <protection locked="0" hidden="1"/>
    </xf>
    <xf numFmtId="0" fontId="9" fillId="0" borderId="58" xfId="5" applyFont="1" applyBorder="1" applyAlignment="1" applyProtection="1">
      <alignment horizontal="center" vertical="center"/>
      <protection hidden="1"/>
    </xf>
    <xf numFmtId="0" fontId="9" fillId="0" borderId="59" xfId="5" applyFont="1" applyBorder="1" applyAlignment="1" applyProtection="1">
      <alignment horizontal="center" vertical="center"/>
      <protection hidden="1"/>
    </xf>
    <xf numFmtId="178" fontId="49" fillId="6" borderId="141" xfId="5" applyNumberFormat="1" applyFont="1" applyFill="1" applyBorder="1" applyAlignment="1" applyProtection="1">
      <alignment horizontal="center" vertical="center"/>
      <protection hidden="1"/>
    </xf>
    <xf numFmtId="178" fontId="49" fillId="6" borderId="148" xfId="5" applyNumberFormat="1" applyFont="1" applyFill="1" applyBorder="1" applyAlignment="1" applyProtection="1">
      <alignment horizontal="center" vertical="center"/>
      <protection hidden="1"/>
    </xf>
    <xf numFmtId="178" fontId="49" fillId="6" borderId="66" xfId="5" applyNumberFormat="1" applyFont="1" applyFill="1" applyBorder="1" applyAlignment="1" applyProtection="1">
      <alignment horizontal="center" vertical="center"/>
      <protection hidden="1"/>
    </xf>
    <xf numFmtId="178" fontId="49" fillId="6" borderId="67" xfId="5" applyNumberFormat="1" applyFont="1" applyFill="1" applyBorder="1" applyAlignment="1" applyProtection="1">
      <alignment horizontal="center" vertical="center"/>
      <protection hidden="1"/>
    </xf>
    <xf numFmtId="0" fontId="9" fillId="2" borderId="62" xfId="5" applyFont="1" applyFill="1" applyBorder="1" applyAlignment="1" applyProtection="1">
      <alignment horizontal="center" vertical="center"/>
      <protection locked="0" hidden="1"/>
    </xf>
    <xf numFmtId="0" fontId="10" fillId="2" borderId="59" xfId="5" applyFont="1" applyFill="1" applyBorder="1" applyAlignment="1" applyProtection="1">
      <alignment horizontal="center" vertical="center"/>
      <protection locked="0" hidden="1"/>
    </xf>
    <xf numFmtId="0" fontId="9" fillId="2" borderId="76" xfId="5" applyFont="1" applyFill="1" applyBorder="1" applyAlignment="1" applyProtection="1">
      <alignment horizontal="center" vertical="center"/>
      <protection locked="0" hidden="1"/>
    </xf>
    <xf numFmtId="0" fontId="9" fillId="2" borderId="66" xfId="5" applyFont="1" applyFill="1" applyBorder="1" applyAlignment="1" applyProtection="1">
      <alignment horizontal="center" vertical="center" shrinkToFit="1"/>
      <protection locked="0" hidden="1"/>
    </xf>
    <xf numFmtId="0" fontId="9" fillId="0" borderId="64" xfId="5" applyFont="1" applyBorder="1" applyAlignment="1" applyProtection="1">
      <alignment horizontal="center" vertical="center"/>
      <protection hidden="1"/>
    </xf>
    <xf numFmtId="0" fontId="9" fillId="0" borderId="65" xfId="5" applyFont="1" applyBorder="1" applyAlignment="1" applyProtection="1">
      <alignment horizontal="center" vertical="center"/>
      <protection hidden="1"/>
    </xf>
    <xf numFmtId="0" fontId="9" fillId="2" borderId="68" xfId="5" applyFont="1" applyFill="1" applyBorder="1" applyAlignment="1" applyProtection="1">
      <alignment horizontal="center" vertical="center"/>
      <protection locked="0" hidden="1"/>
    </xf>
    <xf numFmtId="0" fontId="10" fillId="2" borderId="65" xfId="5" applyFont="1" applyFill="1" applyBorder="1" applyAlignment="1" applyProtection="1">
      <alignment horizontal="center" vertical="center"/>
      <protection locked="0" hidden="1"/>
    </xf>
    <xf numFmtId="0" fontId="9" fillId="2" borderId="66" xfId="5" applyFont="1" applyFill="1" applyBorder="1" applyAlignment="1" applyProtection="1">
      <alignment horizontal="center" vertical="center"/>
      <protection locked="0" hidden="1"/>
    </xf>
    <xf numFmtId="178" fontId="49" fillId="6" borderId="36" xfId="5" applyNumberFormat="1" applyFont="1" applyFill="1" applyBorder="1" applyAlignment="1" applyProtection="1">
      <alignment horizontal="center" vertical="center"/>
      <protection hidden="1"/>
    </xf>
    <xf numFmtId="178" fontId="49" fillId="6" borderId="37" xfId="5" applyNumberFormat="1" applyFont="1" applyFill="1" applyBorder="1" applyAlignment="1" applyProtection="1">
      <alignment horizontal="center" vertical="center"/>
      <protection hidden="1"/>
    </xf>
    <xf numFmtId="0" fontId="9" fillId="2" borderId="89" xfId="5" applyFont="1" applyFill="1" applyBorder="1" applyAlignment="1" applyProtection="1">
      <alignment horizontal="center" vertical="center" shrinkToFit="1"/>
      <protection locked="0" hidden="1"/>
    </xf>
    <xf numFmtId="0" fontId="9" fillId="0" borderId="89" xfId="5" applyFont="1" applyBorder="1" applyAlignment="1" applyProtection="1">
      <alignment horizontal="center" vertical="center"/>
      <protection hidden="1"/>
    </xf>
    <xf numFmtId="0" fontId="9" fillId="2" borderId="75" xfId="5" applyFont="1" applyFill="1" applyBorder="1" applyAlignment="1" applyProtection="1">
      <alignment horizontal="center" vertical="center"/>
      <protection locked="0" hidden="1"/>
    </xf>
    <xf numFmtId="0" fontId="10" fillId="2" borderId="72" xfId="5" applyFont="1" applyFill="1" applyBorder="1" applyAlignment="1" applyProtection="1">
      <alignment horizontal="center" vertical="center"/>
      <protection locked="0" hidden="1"/>
    </xf>
    <xf numFmtId="0" fontId="9" fillId="2" borderId="89" xfId="5" applyFont="1" applyFill="1" applyBorder="1" applyAlignment="1" applyProtection="1">
      <alignment horizontal="center" vertical="center"/>
      <protection locked="0" hidden="1"/>
    </xf>
    <xf numFmtId="0" fontId="5" fillId="0" borderId="30" xfId="5" applyFont="1" applyBorder="1" applyAlignment="1">
      <alignment horizontal="center" vertical="center" wrapText="1"/>
    </xf>
    <xf numFmtId="0" fontId="5" fillId="0" borderId="30" xfId="5" applyFont="1" applyBorder="1" applyAlignment="1">
      <alignment horizontal="center" vertical="center"/>
    </xf>
    <xf numFmtId="0" fontId="5" fillId="0" borderId="17" xfId="5" applyFont="1" applyBorder="1" applyAlignment="1">
      <alignment horizontal="center" vertical="center"/>
    </xf>
    <xf numFmtId="0" fontId="5" fillId="0" borderId="31" xfId="5" applyFont="1" applyBorder="1" applyAlignment="1">
      <alignment horizontal="center" vertical="center"/>
    </xf>
    <xf numFmtId="0" fontId="5" fillId="0" borderId="23" xfId="5" applyFont="1" applyBorder="1" applyAlignment="1">
      <alignment horizontal="center" vertical="center"/>
    </xf>
    <xf numFmtId="0" fontId="5" fillId="0" borderId="16" xfId="5" applyFont="1" applyBorder="1" applyAlignment="1">
      <alignment horizontal="center" vertical="center"/>
    </xf>
    <xf numFmtId="0" fontId="45" fillId="0" borderId="0" xfId="5" applyFont="1" applyAlignment="1">
      <alignment horizontal="center" vertical="center"/>
    </xf>
    <xf numFmtId="0" fontId="46" fillId="0" borderId="0" xfId="5" applyFont="1" applyAlignment="1">
      <alignment horizontal="left" vertical="center" wrapText="1"/>
    </xf>
    <xf numFmtId="0" fontId="48" fillId="0" borderId="0" xfId="5" applyFont="1" applyAlignment="1">
      <alignment horizontal="left" vertical="center" wrapText="1"/>
    </xf>
    <xf numFmtId="0" fontId="5" fillId="0" borderId="81" xfId="5" applyFont="1" applyBorder="1" applyAlignment="1">
      <alignment horizontal="center" vertical="center"/>
    </xf>
    <xf numFmtId="0" fontId="5" fillId="0" borderId="82" xfId="5" applyFont="1" applyBorder="1" applyAlignment="1">
      <alignment horizontal="center" vertical="center"/>
    </xf>
    <xf numFmtId="0" fontId="5" fillId="0" borderId="17" xfId="5" applyFont="1" applyBorder="1" applyAlignment="1">
      <alignment horizontal="center" vertical="center" wrapText="1"/>
    </xf>
    <xf numFmtId="0" fontId="0" fillId="0" borderId="121" xfId="0" applyBorder="1" applyAlignment="1">
      <alignment horizontal="center" vertical="center"/>
    </xf>
    <xf numFmtId="0" fontId="0" fillId="0" borderId="28" xfId="0" applyBorder="1" applyAlignment="1">
      <alignment horizontal="center"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136" xfId="0" applyBorder="1" applyAlignment="1">
      <alignment horizontal="center" vertical="center"/>
    </xf>
    <xf numFmtId="0" fontId="0" fillId="0" borderId="16" xfId="0" applyBorder="1" applyAlignment="1">
      <alignment horizontal="center" vertical="center"/>
    </xf>
    <xf numFmtId="0" fontId="0" fillId="0" borderId="127"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0" fontId="0" fillId="0" borderId="126" xfId="0" applyBorder="1" applyAlignment="1">
      <alignment horizontal="center" vertical="center"/>
    </xf>
    <xf numFmtId="0" fontId="0" fillId="0" borderId="137" xfId="0" applyBorder="1" applyAlignment="1">
      <alignment horizontal="center" vertical="center"/>
    </xf>
    <xf numFmtId="0" fontId="0" fillId="0" borderId="82" xfId="0" applyBorder="1" applyAlignment="1">
      <alignment horizontal="center" vertical="center"/>
    </xf>
    <xf numFmtId="0" fontId="0" fillId="0" borderId="44"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xf>
    <xf numFmtId="0" fontId="0" fillId="0" borderId="103" xfId="0" applyBorder="1" applyAlignment="1">
      <alignment horizontal="center" vertical="center"/>
    </xf>
    <xf numFmtId="0" fontId="0" fillId="0" borderId="132" xfId="0" applyBorder="1" applyAlignment="1">
      <alignment horizontal="center"/>
    </xf>
    <xf numFmtId="0" fontId="0" fillId="0" borderId="133" xfId="0" applyBorder="1" applyAlignment="1">
      <alignment horizontal="center"/>
    </xf>
    <xf numFmtId="0" fontId="0" fillId="0" borderId="134" xfId="0" applyBorder="1" applyAlignment="1">
      <alignment horizontal="center"/>
    </xf>
    <xf numFmtId="0" fontId="0" fillId="0" borderId="135" xfId="0" applyBorder="1" applyAlignment="1">
      <alignment horizontal="center"/>
    </xf>
    <xf numFmtId="0" fontId="0" fillId="0" borderId="42" xfId="0" applyBorder="1" applyAlignment="1">
      <alignment horizontal="center" vertical="center" wrapText="1"/>
    </xf>
    <xf numFmtId="0" fontId="0" fillId="0" borderId="9" xfId="0" applyBorder="1" applyAlignment="1">
      <alignment horizontal="center" vertical="center" wrapText="1"/>
    </xf>
    <xf numFmtId="0" fontId="0" fillId="0" borderId="70" xfId="0" applyBorder="1" applyAlignment="1">
      <alignment horizontal="center" vertical="center" wrapText="1"/>
    </xf>
    <xf numFmtId="0" fontId="0" fillId="0" borderId="55" xfId="0" applyBorder="1" applyAlignment="1">
      <alignment horizontal="center" vertical="center" wrapText="1"/>
    </xf>
    <xf numFmtId="0" fontId="0" fillId="0" borderId="0" xfId="0" applyAlignment="1">
      <alignment horizontal="center" vertical="center" wrapText="1"/>
    </xf>
    <xf numFmtId="0" fontId="0" fillId="0" borderId="61" xfId="0" applyBorder="1" applyAlignment="1">
      <alignment horizontal="center" vertical="center" wrapText="1"/>
    </xf>
    <xf numFmtId="0" fontId="0" fillId="0" borderId="136" xfId="0" applyBorder="1" applyAlignment="1">
      <alignment horizontal="center" vertical="center" wrapText="1"/>
    </xf>
    <xf numFmtId="0" fontId="0" fillId="0" borderId="16" xfId="0" applyBorder="1" applyAlignment="1">
      <alignment horizontal="center" vertical="center" wrapText="1"/>
    </xf>
    <xf numFmtId="0" fontId="0" fillId="0" borderId="127" xfId="0" applyBorder="1" applyAlignment="1">
      <alignment horizontal="center" vertical="center" wrapText="1"/>
    </xf>
    <xf numFmtId="0" fontId="0" fillId="0" borderId="69" xfId="0" applyBorder="1" applyAlignment="1">
      <alignment horizontal="center" vertical="center" wrapText="1"/>
    </xf>
    <xf numFmtId="0" fontId="0" fillId="0" borderId="27" xfId="0" applyBorder="1" applyAlignment="1">
      <alignment horizontal="center" vertical="center" wrapText="1"/>
    </xf>
    <xf numFmtId="0" fontId="0" fillId="0" borderId="60" xfId="0" applyBorder="1" applyAlignment="1">
      <alignment horizontal="center" vertical="center" wrapText="1"/>
    </xf>
    <xf numFmtId="0" fontId="0" fillId="0" borderId="103" xfId="0" applyBorder="1" applyAlignment="1">
      <alignment horizontal="center" vertical="center" wrapText="1"/>
    </xf>
    <xf numFmtId="0" fontId="0" fillId="0" borderId="126" xfId="0" applyBorder="1" applyAlignment="1">
      <alignment horizontal="center" vertical="center" wrapText="1"/>
    </xf>
    <xf numFmtId="0" fontId="0" fillId="0" borderId="137" xfId="0" applyBorder="1" applyAlignment="1">
      <alignment horizontal="center" vertical="center" wrapText="1"/>
    </xf>
    <xf numFmtId="0" fontId="29" fillId="0" borderId="112" xfId="3" applyFont="1" applyBorder="1" applyAlignment="1">
      <alignment horizontal="center" vertical="center"/>
    </xf>
    <xf numFmtId="0" fontId="29" fillId="0" borderId="19" xfId="3" applyFont="1" applyBorder="1" applyAlignment="1">
      <alignment horizontal="center" vertical="center"/>
    </xf>
    <xf numFmtId="0" fontId="29" fillId="0" borderId="36" xfId="3" applyFont="1" applyBorder="1" applyAlignment="1">
      <alignment horizontal="center" vertical="center"/>
    </xf>
    <xf numFmtId="0" fontId="19" fillId="0" borderId="112" xfId="3" applyFont="1" applyBorder="1" applyAlignment="1">
      <alignment horizontal="center" vertical="center"/>
    </xf>
    <xf numFmtId="0" fontId="19" fillId="0" borderId="19" xfId="3" applyFont="1" applyBorder="1" applyAlignment="1">
      <alignment horizontal="center" vertical="center"/>
    </xf>
    <xf numFmtId="14" fontId="5" fillId="0" borderId="25" xfId="0" applyNumberFormat="1" applyFont="1" applyBorder="1" applyAlignment="1">
      <alignment horizontal="center" vertical="center" wrapText="1"/>
    </xf>
    <xf numFmtId="0" fontId="5" fillId="0" borderId="158" xfId="0" applyFont="1" applyBorder="1" applyAlignment="1">
      <alignment horizontal="center" vertical="center" wrapText="1"/>
    </xf>
    <xf numFmtId="0" fontId="5" fillId="0" borderId="159" xfId="0" applyFont="1" applyBorder="1" applyAlignment="1">
      <alignment horizontal="center" vertical="center" wrapText="1"/>
    </xf>
    <xf numFmtId="0" fontId="5" fillId="0" borderId="146" xfId="0" applyFont="1" applyBorder="1" applyAlignment="1">
      <alignment horizontal="left" vertical="center" wrapText="1"/>
    </xf>
    <xf numFmtId="0" fontId="5" fillId="0" borderId="156" xfId="0" applyFont="1" applyBorder="1" applyAlignment="1">
      <alignment horizontal="left" vertical="center" wrapText="1"/>
    </xf>
    <xf numFmtId="0" fontId="5" fillId="0" borderId="147" xfId="0" applyFont="1" applyBorder="1" applyAlignment="1">
      <alignment horizontal="left" vertical="center" wrapText="1"/>
    </xf>
    <xf numFmtId="0" fontId="5" fillId="0" borderId="160" xfId="0" applyFont="1" applyBorder="1" applyAlignment="1">
      <alignment horizontal="left" vertical="center" wrapText="1"/>
    </xf>
    <xf numFmtId="0" fontId="5" fillId="0" borderId="112" xfId="0" applyFont="1" applyBorder="1" applyAlignment="1">
      <alignment horizontal="center" vertical="center" wrapText="1"/>
    </xf>
    <xf numFmtId="0" fontId="5" fillId="0" borderId="19" xfId="0" applyFont="1" applyBorder="1" applyAlignment="1">
      <alignment horizontal="center" vertical="center" wrapText="1"/>
    </xf>
    <xf numFmtId="14" fontId="5" fillId="0" borderId="112" xfId="0" applyNumberFormat="1" applyFont="1" applyBorder="1" applyAlignment="1">
      <alignment horizontal="center" vertical="center" wrapText="1"/>
    </xf>
    <xf numFmtId="14" fontId="5" fillId="0" borderId="19" xfId="0" applyNumberFormat="1" applyFont="1" applyBorder="1" applyAlignment="1">
      <alignment horizontal="center" vertical="center" wrapText="1"/>
    </xf>
    <xf numFmtId="14" fontId="5" fillId="0" borderId="36" xfId="0" applyNumberFormat="1" applyFont="1" applyBorder="1" applyAlignment="1">
      <alignment horizontal="center" vertical="center" wrapText="1"/>
    </xf>
  </cellXfs>
  <cellStyles count="8">
    <cellStyle name="桁区切り" xfId="1" builtinId="6"/>
    <cellStyle name="標準" xfId="0" builtinId="0"/>
    <cellStyle name="標準 14" xfId="4" xr:uid="{00000000-0005-0000-0000-000002000000}"/>
    <cellStyle name="標準 14 2" xfId="6" xr:uid="{00000000-0005-0000-0000-000003000000}"/>
    <cellStyle name="標準 2" xfId="2" xr:uid="{00000000-0005-0000-0000-000004000000}"/>
    <cellStyle name="標準 2 2" xfId="5" xr:uid="{00000000-0005-0000-0000-000005000000}"/>
    <cellStyle name="標準 3" xfId="3" xr:uid="{00000000-0005-0000-0000-000006000000}"/>
    <cellStyle name="標準 3 2" xfId="7" xr:uid="{00000000-0005-0000-0000-000007000000}"/>
  </cellStyles>
  <dxfs count="224">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patternType="gray125"/>
      </fill>
    </dxf>
    <dxf>
      <font>
        <color theme="0"/>
      </font>
    </dxf>
    <dxf>
      <fill>
        <patternFill>
          <fgColor indexed="64"/>
          <bgColor theme="1"/>
        </patternFill>
      </fill>
    </dxf>
    <dxf>
      <fill>
        <patternFill>
          <fgColor indexed="64"/>
          <bgColor theme="1"/>
        </patternFill>
      </fill>
    </dxf>
    <dxf>
      <font>
        <color theme="0"/>
      </font>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color theme="0"/>
      </font>
    </dxf>
    <dxf>
      <fill>
        <patternFill>
          <fgColor indexed="64"/>
          <bgColor theme="1"/>
        </patternFill>
      </fill>
    </dxf>
    <dxf>
      <font>
        <b/>
        <i val="0"/>
        <color auto="1"/>
      </font>
    </dxf>
    <dxf>
      <fill>
        <patternFill>
          <fgColor indexed="64"/>
          <bgColor theme="1"/>
        </patternFill>
      </fill>
    </dxf>
    <dxf>
      <fill>
        <patternFill>
          <fgColor indexed="64"/>
          <bgColor theme="1"/>
        </patternFill>
      </fill>
    </dxf>
    <dxf>
      <fill>
        <patternFill>
          <bgColor theme="1"/>
        </patternFill>
      </fill>
    </dxf>
    <dxf>
      <fill>
        <patternFill>
          <fgColor indexed="64"/>
          <bgColor theme="1"/>
        </patternFill>
      </fill>
    </dxf>
    <dxf>
      <fill>
        <patternFill>
          <fgColor indexed="64"/>
          <bgColor theme="1"/>
        </patternFill>
      </fill>
    </dxf>
    <dxf>
      <font>
        <color theme="1"/>
      </font>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9" defaultPivotStyle="PivotStyleLight16"/>
  <colors>
    <mruColors>
      <color rgb="FF0000FF"/>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checked="Checked" fmlaLink="$AH$10" lockText="1" noThreeD="1"/>
</file>

<file path=xl/ctrlProps/ctrlProp101.xml><?xml version="1.0" encoding="utf-8"?>
<formControlPr xmlns="http://schemas.microsoft.com/office/spreadsheetml/2009/9/main" objectType="CheckBox" checked="Checked" fmlaLink="$AH$11" lockText="1" noThreeD="1"/>
</file>

<file path=xl/ctrlProps/ctrlProp102.xml><?xml version="1.0" encoding="utf-8"?>
<formControlPr xmlns="http://schemas.microsoft.com/office/spreadsheetml/2009/9/main" objectType="CheckBox" checked="Checked" fmlaLink="$AH$14" lockText="1" noThreeD="1"/>
</file>

<file path=xl/ctrlProps/ctrlProp103.xml><?xml version="1.0" encoding="utf-8"?>
<formControlPr xmlns="http://schemas.microsoft.com/office/spreadsheetml/2009/9/main" objectType="CheckBox" checked="Checked" fmlaLink="$AH$12" lockText="1" noThreeD="1"/>
</file>

<file path=xl/ctrlProps/ctrlProp104.xml><?xml version="1.0" encoding="utf-8"?>
<formControlPr xmlns="http://schemas.microsoft.com/office/spreadsheetml/2009/9/main" objectType="CheckBox" checked="Checked" fmlaLink="$AH$13" lockText="1" noThreeD="1"/>
</file>

<file path=xl/ctrlProps/ctrlProp105.xml><?xml version="1.0" encoding="utf-8"?>
<formControlPr xmlns="http://schemas.microsoft.com/office/spreadsheetml/2009/9/main" objectType="CheckBox" checked="Checked" fmlaLink="$AH$21" lockText="1" noThreeD="1"/>
</file>

<file path=xl/ctrlProps/ctrlProp106.xml><?xml version="1.0" encoding="utf-8"?>
<formControlPr xmlns="http://schemas.microsoft.com/office/spreadsheetml/2009/9/main" objectType="CheckBox" checked="Checked" fmlaLink="$AH$22" lockText="1" noThreeD="1"/>
</file>

<file path=xl/ctrlProps/ctrlProp107.xml><?xml version="1.0" encoding="utf-8"?>
<formControlPr xmlns="http://schemas.microsoft.com/office/spreadsheetml/2009/9/main" objectType="CheckBox" checked="Checked" fmlaLink="$AL$8" lockText="1" noThreeD="1"/>
</file>

<file path=xl/ctrlProps/ctrlProp108.xml><?xml version="1.0" encoding="utf-8"?>
<formControlPr xmlns="http://schemas.microsoft.com/office/spreadsheetml/2009/9/main" objectType="CheckBox" checked="Checked" fmlaLink="$AL$9" lockText="1" noThreeD="1"/>
</file>

<file path=xl/ctrlProps/ctrlProp109.xml><?xml version="1.0" encoding="utf-8"?>
<formControlPr xmlns="http://schemas.microsoft.com/office/spreadsheetml/2009/9/main" objectType="CheckBox" checked="Checked" fmlaLink="$AL$12"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checked="Checked" fmlaLink="$AL$13" lockText="1" noThreeD="1"/>
</file>

<file path=xl/ctrlProps/ctrlProp111.xml><?xml version="1.0" encoding="utf-8"?>
<formControlPr xmlns="http://schemas.microsoft.com/office/spreadsheetml/2009/9/main" objectType="CheckBox" checked="Checked" fmlaLink="$AL$14" lockText="1" noThreeD="1"/>
</file>

<file path=xl/ctrlProps/ctrlProp112.xml><?xml version="1.0" encoding="utf-8"?>
<formControlPr xmlns="http://schemas.microsoft.com/office/spreadsheetml/2009/9/main" objectType="CheckBox" checked="Checked" fmlaLink="$AH$29" lockText="1" noThreeD="1"/>
</file>

<file path=xl/ctrlProps/ctrlProp113.xml><?xml version="1.0" encoding="utf-8"?>
<formControlPr xmlns="http://schemas.microsoft.com/office/spreadsheetml/2009/9/main" objectType="CheckBox" checked="Checked" fmlaLink="$AH$30" lockText="1" noThreeD="1"/>
</file>

<file path=xl/ctrlProps/ctrlProp114.xml><?xml version="1.0" encoding="utf-8"?>
<formControlPr xmlns="http://schemas.microsoft.com/office/spreadsheetml/2009/9/main" objectType="CheckBox" checked="Checked" fmlaLink="$AH$33" lockText="1" noThreeD="1"/>
</file>

<file path=xl/ctrlProps/ctrlProp115.xml><?xml version="1.0" encoding="utf-8"?>
<formControlPr xmlns="http://schemas.microsoft.com/office/spreadsheetml/2009/9/main" objectType="CheckBox" checked="Checked" fmlaLink="$AL$10" lockText="1" noThreeD="1"/>
</file>

<file path=xl/ctrlProps/ctrlProp116.xml><?xml version="1.0" encoding="utf-8"?>
<formControlPr xmlns="http://schemas.microsoft.com/office/spreadsheetml/2009/9/main" objectType="CheckBox" checked="Checked" fmlaLink="$AL$11" lockText="1" noThreeD="1"/>
</file>

<file path=xl/ctrlProps/ctrlProp117.xml><?xml version="1.0" encoding="utf-8"?>
<formControlPr xmlns="http://schemas.microsoft.com/office/spreadsheetml/2009/9/main" objectType="CheckBox" checked="Checked" fmlaLink="$AH$31" lockText="1" noThreeD="1"/>
</file>

<file path=xl/ctrlProps/ctrlProp118.xml><?xml version="1.0" encoding="utf-8"?>
<formControlPr xmlns="http://schemas.microsoft.com/office/spreadsheetml/2009/9/main" objectType="CheckBox" checked="Checked" fmlaLink="$AH$32" lockText="1" noThreeD="1"/>
</file>

<file path=xl/ctrlProps/ctrlProp119.xml><?xml version="1.0" encoding="utf-8"?>
<formControlPr xmlns="http://schemas.microsoft.com/office/spreadsheetml/2009/9/main" objectType="CheckBox" checked="Checked" fmlaLink="$AH$21" lockText="1" noThreeD="1"/>
</file>

<file path=xl/ctrlProps/ctrlProp12.xml><?xml version="1.0" encoding="utf-8"?>
<formControlPr xmlns="http://schemas.microsoft.com/office/spreadsheetml/2009/9/main" objectType="CheckBox" checked="Checked" fmlaLink="$AL$8" lockText="1" noThreeD="1"/>
</file>

<file path=xl/ctrlProps/ctrlProp120.xml><?xml version="1.0" encoding="utf-8"?>
<formControlPr xmlns="http://schemas.microsoft.com/office/spreadsheetml/2009/9/main" objectType="CheckBox" checked="Checked" fmlaLink="$AH$22" lockText="1" noThreeD="1"/>
</file>

<file path=xl/ctrlProps/ctrlProp121.xml><?xml version="1.0" encoding="utf-8"?>
<formControlPr xmlns="http://schemas.microsoft.com/office/spreadsheetml/2009/9/main" objectType="CheckBox" checked="Checked" fmlaLink="$AH$8" lockText="1" noThreeD="1"/>
</file>

<file path=xl/ctrlProps/ctrlProp122.xml><?xml version="1.0" encoding="utf-8"?>
<formControlPr xmlns="http://schemas.microsoft.com/office/spreadsheetml/2009/9/main" objectType="CheckBox" checked="Checked" fmlaLink="$AH$9" lockText="1" noThreeD="1"/>
</file>

<file path=xl/ctrlProps/ctrlProp123.xml><?xml version="1.0" encoding="utf-8"?>
<formControlPr xmlns="http://schemas.microsoft.com/office/spreadsheetml/2009/9/main" objectType="CheckBox" checked="Checked" fmlaLink="$AH$10" lockText="1" noThreeD="1"/>
</file>

<file path=xl/ctrlProps/ctrlProp124.xml><?xml version="1.0" encoding="utf-8"?>
<formControlPr xmlns="http://schemas.microsoft.com/office/spreadsheetml/2009/9/main" objectType="CheckBox" checked="Checked" fmlaLink="$AH$11" lockText="1" noThreeD="1"/>
</file>

<file path=xl/ctrlProps/ctrlProp125.xml><?xml version="1.0" encoding="utf-8"?>
<formControlPr xmlns="http://schemas.microsoft.com/office/spreadsheetml/2009/9/main" objectType="CheckBox" checked="Checked" fmlaLink="$AH$14" lockText="1" noThreeD="1"/>
</file>

<file path=xl/ctrlProps/ctrlProp126.xml><?xml version="1.0" encoding="utf-8"?>
<formControlPr xmlns="http://schemas.microsoft.com/office/spreadsheetml/2009/9/main" objectType="CheckBox" checked="Checked" fmlaLink="$AH$12" lockText="1" noThreeD="1"/>
</file>

<file path=xl/ctrlProps/ctrlProp127.xml><?xml version="1.0" encoding="utf-8"?>
<formControlPr xmlns="http://schemas.microsoft.com/office/spreadsheetml/2009/9/main" objectType="CheckBox" checked="Checked" fmlaLink="$AH$13" lockText="1" noThreeD="1"/>
</file>

<file path=xl/ctrlProps/ctrlProp128.xml><?xml version="1.0" encoding="utf-8"?>
<formControlPr xmlns="http://schemas.microsoft.com/office/spreadsheetml/2009/9/main" objectType="CheckBox" checked="Checked" fmlaLink="$AH$8" lockText="1" noThreeD="1"/>
</file>

<file path=xl/ctrlProps/ctrlProp129.xml><?xml version="1.0" encoding="utf-8"?>
<formControlPr xmlns="http://schemas.microsoft.com/office/spreadsheetml/2009/9/main" objectType="CheckBox" checked="Checked" fmlaLink="$AH$21" lockText="1" noThreeD="1"/>
</file>

<file path=xl/ctrlProps/ctrlProp13.xml><?xml version="1.0" encoding="utf-8"?>
<formControlPr xmlns="http://schemas.microsoft.com/office/spreadsheetml/2009/9/main" objectType="CheckBox" checked="Checked" fmlaLink="$AL$9" lockText="1" noThreeD="1"/>
</file>

<file path=xl/ctrlProps/ctrlProp130.xml><?xml version="1.0" encoding="utf-8"?>
<formControlPr xmlns="http://schemas.microsoft.com/office/spreadsheetml/2009/9/main" objectType="CheckBox" checked="Checked" fmlaLink="$AH$22" lockText="1" noThreeD="1"/>
</file>

<file path=xl/ctrlProps/ctrlProp131.xml><?xml version="1.0" encoding="utf-8"?>
<formControlPr xmlns="http://schemas.microsoft.com/office/spreadsheetml/2009/9/main" objectType="CheckBox" checked="Checked" fmlaLink="$AL$8" lockText="1" noThreeD="1"/>
</file>

<file path=xl/ctrlProps/ctrlProp132.xml><?xml version="1.0" encoding="utf-8"?>
<formControlPr xmlns="http://schemas.microsoft.com/office/spreadsheetml/2009/9/main" objectType="CheckBox" checked="Checked" fmlaLink="$AL$9" lockText="1" noThreeD="1"/>
</file>

<file path=xl/ctrlProps/ctrlProp133.xml><?xml version="1.0" encoding="utf-8"?>
<formControlPr xmlns="http://schemas.microsoft.com/office/spreadsheetml/2009/9/main" objectType="CheckBox" checked="Checked" fmlaLink="$AL$12" lockText="1" noThreeD="1"/>
</file>

<file path=xl/ctrlProps/ctrlProp134.xml><?xml version="1.0" encoding="utf-8"?>
<formControlPr xmlns="http://schemas.microsoft.com/office/spreadsheetml/2009/9/main" objectType="CheckBox" checked="Checked" fmlaLink="$AL$13" lockText="1" noThreeD="1"/>
</file>

<file path=xl/ctrlProps/ctrlProp135.xml><?xml version="1.0" encoding="utf-8"?>
<formControlPr xmlns="http://schemas.microsoft.com/office/spreadsheetml/2009/9/main" objectType="CheckBox" checked="Checked" fmlaLink="$AL$14" lockText="1" noThreeD="1"/>
</file>

<file path=xl/ctrlProps/ctrlProp136.xml><?xml version="1.0" encoding="utf-8"?>
<formControlPr xmlns="http://schemas.microsoft.com/office/spreadsheetml/2009/9/main" objectType="CheckBox" checked="Checked" fmlaLink="$AH$29" lockText="1" noThreeD="1"/>
</file>

<file path=xl/ctrlProps/ctrlProp137.xml><?xml version="1.0" encoding="utf-8"?>
<formControlPr xmlns="http://schemas.microsoft.com/office/spreadsheetml/2009/9/main" objectType="CheckBox" checked="Checked" fmlaLink="$AH$30" lockText="1" noThreeD="1"/>
</file>

<file path=xl/ctrlProps/ctrlProp138.xml><?xml version="1.0" encoding="utf-8"?>
<formControlPr xmlns="http://schemas.microsoft.com/office/spreadsheetml/2009/9/main" objectType="CheckBox" checked="Checked" fmlaLink="$AH$33" lockText="1" noThreeD="1"/>
</file>

<file path=xl/ctrlProps/ctrlProp139.xml><?xml version="1.0" encoding="utf-8"?>
<formControlPr xmlns="http://schemas.microsoft.com/office/spreadsheetml/2009/9/main" objectType="CheckBox" checked="Checked" fmlaLink="$AL$10" lockText="1" noThreeD="1"/>
</file>

<file path=xl/ctrlProps/ctrlProp14.xml><?xml version="1.0" encoding="utf-8"?>
<formControlPr xmlns="http://schemas.microsoft.com/office/spreadsheetml/2009/9/main" objectType="CheckBox" checked="Checked" fmlaLink="$AL$12" lockText="1" noThreeD="1"/>
</file>

<file path=xl/ctrlProps/ctrlProp140.xml><?xml version="1.0" encoding="utf-8"?>
<formControlPr xmlns="http://schemas.microsoft.com/office/spreadsheetml/2009/9/main" objectType="CheckBox" checked="Checked" fmlaLink="$AL$11" lockText="1" noThreeD="1"/>
</file>

<file path=xl/ctrlProps/ctrlProp141.xml><?xml version="1.0" encoding="utf-8"?>
<formControlPr xmlns="http://schemas.microsoft.com/office/spreadsheetml/2009/9/main" objectType="CheckBox" checked="Checked" fmlaLink="$AH$31" lockText="1" noThreeD="1"/>
</file>

<file path=xl/ctrlProps/ctrlProp142.xml><?xml version="1.0" encoding="utf-8"?>
<formControlPr xmlns="http://schemas.microsoft.com/office/spreadsheetml/2009/9/main" objectType="CheckBox" checked="Checked" fmlaLink="$AH$32" lockText="1" noThreeD="1"/>
</file>

<file path=xl/ctrlProps/ctrlProp143.xml><?xml version="1.0" encoding="utf-8"?>
<formControlPr xmlns="http://schemas.microsoft.com/office/spreadsheetml/2009/9/main" objectType="CheckBox" checked="Checked" fmlaLink="$AH$21" lockText="1" noThreeD="1"/>
</file>

<file path=xl/ctrlProps/ctrlProp144.xml><?xml version="1.0" encoding="utf-8"?>
<formControlPr xmlns="http://schemas.microsoft.com/office/spreadsheetml/2009/9/main" objectType="CheckBox" checked="Checked" fmlaLink="$AH$22" lockText="1" noThreeD="1"/>
</file>

<file path=xl/ctrlProps/ctrlProp145.xml><?xml version="1.0" encoding="utf-8"?>
<formControlPr xmlns="http://schemas.microsoft.com/office/spreadsheetml/2009/9/main" objectType="CheckBox" checked="Checked" fmlaLink="$AH$8" lockText="1" noThreeD="1"/>
</file>

<file path=xl/ctrlProps/ctrlProp146.xml><?xml version="1.0" encoding="utf-8"?>
<formControlPr xmlns="http://schemas.microsoft.com/office/spreadsheetml/2009/9/main" objectType="CheckBox" checked="Checked" fmlaLink="$AH$9" lockText="1" noThreeD="1"/>
</file>

<file path=xl/ctrlProps/ctrlProp147.xml><?xml version="1.0" encoding="utf-8"?>
<formControlPr xmlns="http://schemas.microsoft.com/office/spreadsheetml/2009/9/main" objectType="CheckBox" checked="Checked" fmlaLink="$AH$10" lockText="1" noThreeD="1"/>
</file>

<file path=xl/ctrlProps/ctrlProp148.xml><?xml version="1.0" encoding="utf-8"?>
<formControlPr xmlns="http://schemas.microsoft.com/office/spreadsheetml/2009/9/main" objectType="CheckBox" checked="Checked" fmlaLink="$AH$11" lockText="1" noThreeD="1"/>
</file>

<file path=xl/ctrlProps/ctrlProp149.xml><?xml version="1.0" encoding="utf-8"?>
<formControlPr xmlns="http://schemas.microsoft.com/office/spreadsheetml/2009/9/main" objectType="CheckBox" checked="Checked" fmlaLink="$AH$14" lockText="1" noThreeD="1"/>
</file>

<file path=xl/ctrlProps/ctrlProp15.xml><?xml version="1.0" encoding="utf-8"?>
<formControlPr xmlns="http://schemas.microsoft.com/office/spreadsheetml/2009/9/main" objectType="CheckBox" checked="Checked" fmlaLink="$AL$13" lockText="1" noThreeD="1"/>
</file>

<file path=xl/ctrlProps/ctrlProp150.xml><?xml version="1.0" encoding="utf-8"?>
<formControlPr xmlns="http://schemas.microsoft.com/office/spreadsheetml/2009/9/main" objectType="CheckBox" checked="Checked" fmlaLink="$AH$12" lockText="1" noThreeD="1"/>
</file>

<file path=xl/ctrlProps/ctrlProp151.xml><?xml version="1.0" encoding="utf-8"?>
<formControlPr xmlns="http://schemas.microsoft.com/office/spreadsheetml/2009/9/main" objectType="CheckBox" checked="Checked" fmlaLink="$AH$13" lockText="1" noThreeD="1"/>
</file>

<file path=xl/ctrlProps/ctrlProp152.xml><?xml version="1.0" encoding="utf-8"?>
<formControlPr xmlns="http://schemas.microsoft.com/office/spreadsheetml/2009/9/main" objectType="CheckBox" checked="Checked" fmlaLink="$AH$8" lockText="1" noThreeD="1"/>
</file>

<file path=xl/ctrlProps/ctrlProp153.xml><?xml version="1.0" encoding="utf-8"?>
<formControlPr xmlns="http://schemas.microsoft.com/office/spreadsheetml/2009/9/main" objectType="CheckBox" checked="Checked" fmlaLink="$AH$21" lockText="1" noThreeD="1"/>
</file>

<file path=xl/ctrlProps/ctrlProp154.xml><?xml version="1.0" encoding="utf-8"?>
<formControlPr xmlns="http://schemas.microsoft.com/office/spreadsheetml/2009/9/main" objectType="CheckBox" checked="Checked" fmlaLink="$AH$22" lockText="1" noThreeD="1"/>
</file>

<file path=xl/ctrlProps/ctrlProp155.xml><?xml version="1.0" encoding="utf-8"?>
<formControlPr xmlns="http://schemas.microsoft.com/office/spreadsheetml/2009/9/main" objectType="CheckBox" checked="Checked" fmlaLink="$AL$8" lockText="1" noThreeD="1"/>
</file>

<file path=xl/ctrlProps/ctrlProp156.xml><?xml version="1.0" encoding="utf-8"?>
<formControlPr xmlns="http://schemas.microsoft.com/office/spreadsheetml/2009/9/main" objectType="CheckBox" checked="Checked" fmlaLink="$AL$9" lockText="1" noThreeD="1"/>
</file>

<file path=xl/ctrlProps/ctrlProp157.xml><?xml version="1.0" encoding="utf-8"?>
<formControlPr xmlns="http://schemas.microsoft.com/office/spreadsheetml/2009/9/main" objectType="CheckBox" checked="Checked" fmlaLink="$AL$12" lockText="1" noThreeD="1"/>
</file>

<file path=xl/ctrlProps/ctrlProp158.xml><?xml version="1.0" encoding="utf-8"?>
<formControlPr xmlns="http://schemas.microsoft.com/office/spreadsheetml/2009/9/main" objectType="CheckBox" checked="Checked" fmlaLink="$AL$13" lockText="1" noThreeD="1"/>
</file>

<file path=xl/ctrlProps/ctrlProp159.xml><?xml version="1.0" encoding="utf-8"?>
<formControlPr xmlns="http://schemas.microsoft.com/office/spreadsheetml/2009/9/main" objectType="CheckBox" checked="Checked" fmlaLink="$AL$14" lockText="1" noThreeD="1"/>
</file>

<file path=xl/ctrlProps/ctrlProp16.xml><?xml version="1.0" encoding="utf-8"?>
<formControlPr xmlns="http://schemas.microsoft.com/office/spreadsheetml/2009/9/main" objectType="CheckBox" checked="Checked" fmlaLink="$AL$14" lockText="1" noThreeD="1"/>
</file>

<file path=xl/ctrlProps/ctrlProp160.xml><?xml version="1.0" encoding="utf-8"?>
<formControlPr xmlns="http://schemas.microsoft.com/office/spreadsheetml/2009/9/main" objectType="CheckBox" checked="Checked" fmlaLink="$AH$29" lockText="1" noThreeD="1"/>
</file>

<file path=xl/ctrlProps/ctrlProp161.xml><?xml version="1.0" encoding="utf-8"?>
<formControlPr xmlns="http://schemas.microsoft.com/office/spreadsheetml/2009/9/main" objectType="CheckBox" checked="Checked" fmlaLink="$AH$30" lockText="1" noThreeD="1"/>
</file>

<file path=xl/ctrlProps/ctrlProp162.xml><?xml version="1.0" encoding="utf-8"?>
<formControlPr xmlns="http://schemas.microsoft.com/office/spreadsheetml/2009/9/main" objectType="CheckBox" checked="Checked" fmlaLink="$AH$33" lockText="1" noThreeD="1"/>
</file>

<file path=xl/ctrlProps/ctrlProp163.xml><?xml version="1.0" encoding="utf-8"?>
<formControlPr xmlns="http://schemas.microsoft.com/office/spreadsheetml/2009/9/main" objectType="CheckBox" checked="Checked" fmlaLink="$AL$10" lockText="1" noThreeD="1"/>
</file>

<file path=xl/ctrlProps/ctrlProp164.xml><?xml version="1.0" encoding="utf-8"?>
<formControlPr xmlns="http://schemas.microsoft.com/office/spreadsheetml/2009/9/main" objectType="CheckBox" checked="Checked" fmlaLink="$AL$11" lockText="1" noThreeD="1"/>
</file>

<file path=xl/ctrlProps/ctrlProp165.xml><?xml version="1.0" encoding="utf-8"?>
<formControlPr xmlns="http://schemas.microsoft.com/office/spreadsheetml/2009/9/main" objectType="CheckBox" checked="Checked" fmlaLink="$AH$31" lockText="1" noThreeD="1"/>
</file>

<file path=xl/ctrlProps/ctrlProp166.xml><?xml version="1.0" encoding="utf-8"?>
<formControlPr xmlns="http://schemas.microsoft.com/office/spreadsheetml/2009/9/main" objectType="CheckBox" checked="Checked" fmlaLink="$AH$32" lockText="1" noThreeD="1"/>
</file>

<file path=xl/ctrlProps/ctrlProp167.xml><?xml version="1.0" encoding="utf-8"?>
<formControlPr xmlns="http://schemas.microsoft.com/office/spreadsheetml/2009/9/main" objectType="CheckBox" checked="Checked" fmlaLink="$AH$21" lockText="1" noThreeD="1"/>
</file>

<file path=xl/ctrlProps/ctrlProp168.xml><?xml version="1.0" encoding="utf-8"?>
<formControlPr xmlns="http://schemas.microsoft.com/office/spreadsheetml/2009/9/main" objectType="CheckBox" checked="Checked" fmlaLink="$AH$22" lockText="1" noThreeD="1"/>
</file>

<file path=xl/ctrlProps/ctrlProp169.xml><?xml version="1.0" encoding="utf-8"?>
<formControlPr xmlns="http://schemas.microsoft.com/office/spreadsheetml/2009/9/main" objectType="CheckBox" checked="Checked" fmlaLink="$AH$8" lockText="1" noThreeD="1"/>
</file>

<file path=xl/ctrlProps/ctrlProp17.xml><?xml version="1.0" encoding="utf-8"?>
<formControlPr xmlns="http://schemas.microsoft.com/office/spreadsheetml/2009/9/main" objectType="CheckBox" checked="Checked" fmlaLink="$AH$29" lockText="1" noThreeD="1"/>
</file>

<file path=xl/ctrlProps/ctrlProp170.xml><?xml version="1.0" encoding="utf-8"?>
<formControlPr xmlns="http://schemas.microsoft.com/office/spreadsheetml/2009/9/main" objectType="CheckBox" checked="Checked" fmlaLink="$AH$9" lockText="1" noThreeD="1"/>
</file>

<file path=xl/ctrlProps/ctrlProp171.xml><?xml version="1.0" encoding="utf-8"?>
<formControlPr xmlns="http://schemas.microsoft.com/office/spreadsheetml/2009/9/main" objectType="CheckBox" checked="Checked" fmlaLink="$AH$10" lockText="1" noThreeD="1"/>
</file>

<file path=xl/ctrlProps/ctrlProp172.xml><?xml version="1.0" encoding="utf-8"?>
<formControlPr xmlns="http://schemas.microsoft.com/office/spreadsheetml/2009/9/main" objectType="CheckBox" checked="Checked" fmlaLink="$AH$11" lockText="1" noThreeD="1"/>
</file>

<file path=xl/ctrlProps/ctrlProp173.xml><?xml version="1.0" encoding="utf-8"?>
<formControlPr xmlns="http://schemas.microsoft.com/office/spreadsheetml/2009/9/main" objectType="CheckBox" checked="Checked" fmlaLink="$AH$14" lockText="1" noThreeD="1"/>
</file>

<file path=xl/ctrlProps/ctrlProp174.xml><?xml version="1.0" encoding="utf-8"?>
<formControlPr xmlns="http://schemas.microsoft.com/office/spreadsheetml/2009/9/main" objectType="CheckBox" checked="Checked" fmlaLink="$AH$12" lockText="1" noThreeD="1"/>
</file>

<file path=xl/ctrlProps/ctrlProp175.xml><?xml version="1.0" encoding="utf-8"?>
<formControlPr xmlns="http://schemas.microsoft.com/office/spreadsheetml/2009/9/main" objectType="CheckBox" checked="Checked" fmlaLink="$AH$13" lockText="1" noThreeD="1"/>
</file>

<file path=xl/ctrlProps/ctrlProp176.xml><?xml version="1.0" encoding="utf-8"?>
<formControlPr xmlns="http://schemas.microsoft.com/office/spreadsheetml/2009/9/main" objectType="CheckBox" checked="Checked" fmlaLink="$AH$8" lockText="1" noThreeD="1"/>
</file>

<file path=xl/ctrlProps/ctrlProp177.xml><?xml version="1.0" encoding="utf-8"?>
<formControlPr xmlns="http://schemas.microsoft.com/office/spreadsheetml/2009/9/main" objectType="CheckBox" checked="Checked" fmlaLink="$AH$21" lockText="1" noThreeD="1"/>
</file>

<file path=xl/ctrlProps/ctrlProp178.xml><?xml version="1.0" encoding="utf-8"?>
<formControlPr xmlns="http://schemas.microsoft.com/office/spreadsheetml/2009/9/main" objectType="CheckBox" checked="Checked" fmlaLink="$AH$22" lockText="1" noThreeD="1"/>
</file>

<file path=xl/ctrlProps/ctrlProp179.xml><?xml version="1.0" encoding="utf-8"?>
<formControlPr xmlns="http://schemas.microsoft.com/office/spreadsheetml/2009/9/main" objectType="CheckBox" checked="Checked" fmlaLink="$AL$8" lockText="1" noThreeD="1"/>
</file>

<file path=xl/ctrlProps/ctrlProp18.xml><?xml version="1.0" encoding="utf-8"?>
<formControlPr xmlns="http://schemas.microsoft.com/office/spreadsheetml/2009/9/main" objectType="CheckBox" checked="Checked" fmlaLink="$AH$30" lockText="1" noThreeD="1"/>
</file>

<file path=xl/ctrlProps/ctrlProp180.xml><?xml version="1.0" encoding="utf-8"?>
<formControlPr xmlns="http://schemas.microsoft.com/office/spreadsheetml/2009/9/main" objectType="CheckBox" checked="Checked" fmlaLink="$AL$9" lockText="1" noThreeD="1"/>
</file>

<file path=xl/ctrlProps/ctrlProp181.xml><?xml version="1.0" encoding="utf-8"?>
<formControlPr xmlns="http://schemas.microsoft.com/office/spreadsheetml/2009/9/main" objectType="CheckBox" checked="Checked" fmlaLink="$AL$12" lockText="1" noThreeD="1"/>
</file>

<file path=xl/ctrlProps/ctrlProp182.xml><?xml version="1.0" encoding="utf-8"?>
<formControlPr xmlns="http://schemas.microsoft.com/office/spreadsheetml/2009/9/main" objectType="CheckBox" checked="Checked" fmlaLink="$AL$13" lockText="1" noThreeD="1"/>
</file>

<file path=xl/ctrlProps/ctrlProp183.xml><?xml version="1.0" encoding="utf-8"?>
<formControlPr xmlns="http://schemas.microsoft.com/office/spreadsheetml/2009/9/main" objectType="CheckBox" checked="Checked" fmlaLink="$AL$14" lockText="1" noThreeD="1"/>
</file>

<file path=xl/ctrlProps/ctrlProp184.xml><?xml version="1.0" encoding="utf-8"?>
<formControlPr xmlns="http://schemas.microsoft.com/office/spreadsheetml/2009/9/main" objectType="CheckBox" checked="Checked" fmlaLink="$AH$29" lockText="1" noThreeD="1"/>
</file>

<file path=xl/ctrlProps/ctrlProp185.xml><?xml version="1.0" encoding="utf-8"?>
<formControlPr xmlns="http://schemas.microsoft.com/office/spreadsheetml/2009/9/main" objectType="CheckBox" checked="Checked" fmlaLink="$AH$30" lockText="1" noThreeD="1"/>
</file>

<file path=xl/ctrlProps/ctrlProp186.xml><?xml version="1.0" encoding="utf-8"?>
<formControlPr xmlns="http://schemas.microsoft.com/office/spreadsheetml/2009/9/main" objectType="CheckBox" checked="Checked" fmlaLink="$AH$33" lockText="1" noThreeD="1"/>
</file>

<file path=xl/ctrlProps/ctrlProp187.xml><?xml version="1.0" encoding="utf-8"?>
<formControlPr xmlns="http://schemas.microsoft.com/office/spreadsheetml/2009/9/main" objectType="CheckBox" checked="Checked" fmlaLink="$AL$10" lockText="1" noThreeD="1"/>
</file>

<file path=xl/ctrlProps/ctrlProp188.xml><?xml version="1.0" encoding="utf-8"?>
<formControlPr xmlns="http://schemas.microsoft.com/office/spreadsheetml/2009/9/main" objectType="CheckBox" checked="Checked" fmlaLink="$AL$11" lockText="1" noThreeD="1"/>
</file>

<file path=xl/ctrlProps/ctrlProp189.xml><?xml version="1.0" encoding="utf-8"?>
<formControlPr xmlns="http://schemas.microsoft.com/office/spreadsheetml/2009/9/main" objectType="CheckBox" checked="Checked" fmlaLink="$AH$31" lockText="1" noThreeD="1"/>
</file>

<file path=xl/ctrlProps/ctrlProp19.xml><?xml version="1.0" encoding="utf-8"?>
<formControlPr xmlns="http://schemas.microsoft.com/office/spreadsheetml/2009/9/main" objectType="CheckBox" checked="Checked" fmlaLink="$AH$33" lockText="1" noThreeD="1"/>
</file>

<file path=xl/ctrlProps/ctrlProp190.xml><?xml version="1.0" encoding="utf-8"?>
<formControlPr xmlns="http://schemas.microsoft.com/office/spreadsheetml/2009/9/main" objectType="CheckBox" checked="Checked" fmlaLink="$AH$32" lockText="1" noThreeD="1"/>
</file>

<file path=xl/ctrlProps/ctrlProp191.xml><?xml version="1.0" encoding="utf-8"?>
<formControlPr xmlns="http://schemas.microsoft.com/office/spreadsheetml/2009/9/main" objectType="CheckBox" checked="Checked" fmlaLink="$AH$21" lockText="1" noThreeD="1"/>
</file>

<file path=xl/ctrlProps/ctrlProp192.xml><?xml version="1.0" encoding="utf-8"?>
<formControlPr xmlns="http://schemas.microsoft.com/office/spreadsheetml/2009/9/main" objectType="CheckBox" checked="Checked" fmlaLink="$AH$22" lockText="1" noThreeD="1"/>
</file>

<file path=xl/ctrlProps/ctrlProp193.xml><?xml version="1.0" encoding="utf-8"?>
<formControlPr xmlns="http://schemas.microsoft.com/office/spreadsheetml/2009/9/main" objectType="CheckBox" checked="Checked" fmlaLink="$AH$8" lockText="1" noThreeD="1"/>
</file>

<file path=xl/ctrlProps/ctrlProp194.xml><?xml version="1.0" encoding="utf-8"?>
<formControlPr xmlns="http://schemas.microsoft.com/office/spreadsheetml/2009/9/main" objectType="CheckBox" checked="Checked" fmlaLink="$AH$9" lockText="1" noThreeD="1"/>
</file>

<file path=xl/ctrlProps/ctrlProp195.xml><?xml version="1.0" encoding="utf-8"?>
<formControlPr xmlns="http://schemas.microsoft.com/office/spreadsheetml/2009/9/main" objectType="CheckBox" checked="Checked" fmlaLink="$AH$10" lockText="1" noThreeD="1"/>
</file>

<file path=xl/ctrlProps/ctrlProp196.xml><?xml version="1.0" encoding="utf-8"?>
<formControlPr xmlns="http://schemas.microsoft.com/office/spreadsheetml/2009/9/main" objectType="CheckBox" checked="Checked" fmlaLink="$AH$11" lockText="1" noThreeD="1"/>
</file>

<file path=xl/ctrlProps/ctrlProp197.xml><?xml version="1.0" encoding="utf-8"?>
<formControlPr xmlns="http://schemas.microsoft.com/office/spreadsheetml/2009/9/main" objectType="CheckBox" checked="Checked" fmlaLink="$AH$14" lockText="1" noThreeD="1"/>
</file>

<file path=xl/ctrlProps/ctrlProp198.xml><?xml version="1.0" encoding="utf-8"?>
<formControlPr xmlns="http://schemas.microsoft.com/office/spreadsheetml/2009/9/main" objectType="CheckBox" checked="Checked" fmlaLink="$AH$12" lockText="1" noThreeD="1"/>
</file>

<file path=xl/ctrlProps/ctrlProp199.xml><?xml version="1.0" encoding="utf-8"?>
<formControlPr xmlns="http://schemas.microsoft.com/office/spreadsheetml/2009/9/main" objectType="CheckBox" checked="Checked" fmlaLink="$AH$13" lockText="1" noThreeD="1"/>
</file>

<file path=xl/ctrlProps/ctrlProp2.xml><?xml version="1.0" encoding="utf-8"?>
<formControlPr xmlns="http://schemas.microsoft.com/office/spreadsheetml/2009/9/main" objectType="Radio" checked="Checked" firstButton="1" fmlaLink="$AH$3" noThreeD="1"/>
</file>

<file path=xl/ctrlProps/ctrlProp20.xml><?xml version="1.0" encoding="utf-8"?>
<formControlPr xmlns="http://schemas.microsoft.com/office/spreadsheetml/2009/9/main" objectType="CheckBox" checked="Checked" fmlaLink="$AL$10" lockText="1" noThreeD="1"/>
</file>

<file path=xl/ctrlProps/ctrlProp200.xml><?xml version="1.0" encoding="utf-8"?>
<formControlPr xmlns="http://schemas.microsoft.com/office/spreadsheetml/2009/9/main" objectType="CheckBox" checked="Checked" fmlaLink="$AH$8" lockText="1" noThreeD="1"/>
</file>

<file path=xl/ctrlProps/ctrlProp201.xml><?xml version="1.0" encoding="utf-8"?>
<formControlPr xmlns="http://schemas.microsoft.com/office/spreadsheetml/2009/9/main" objectType="CheckBox" checked="Checked" fmlaLink="$AH$21" lockText="1" noThreeD="1"/>
</file>

<file path=xl/ctrlProps/ctrlProp202.xml><?xml version="1.0" encoding="utf-8"?>
<formControlPr xmlns="http://schemas.microsoft.com/office/spreadsheetml/2009/9/main" objectType="CheckBox" checked="Checked" fmlaLink="$AH$22" lockText="1" noThreeD="1"/>
</file>

<file path=xl/ctrlProps/ctrlProp203.xml><?xml version="1.0" encoding="utf-8"?>
<formControlPr xmlns="http://schemas.microsoft.com/office/spreadsheetml/2009/9/main" objectType="CheckBox" checked="Checked" fmlaLink="$AI$7" lockText="1" noThreeD="1"/>
</file>

<file path=xl/ctrlProps/ctrlProp204.xml><?xml version="1.0" encoding="utf-8"?>
<formControlPr xmlns="http://schemas.microsoft.com/office/spreadsheetml/2009/9/main" objectType="CheckBox" checked="Checked" fmlaLink="$AI$8" lockText="1" noThreeD="1"/>
</file>

<file path=xl/ctrlProps/ctrlProp205.xml><?xml version="1.0" encoding="utf-8"?>
<formControlPr xmlns="http://schemas.microsoft.com/office/spreadsheetml/2009/9/main" objectType="CheckBox" checked="Checked" fmlaLink="$AI$9" lockText="1" noThreeD="1"/>
</file>

<file path=xl/ctrlProps/ctrlProp206.xml><?xml version="1.0" encoding="utf-8"?>
<formControlPr xmlns="http://schemas.microsoft.com/office/spreadsheetml/2009/9/main" objectType="CheckBox" checked="Checked" fmlaLink="$AI$10" lockText="1" noThreeD="1"/>
</file>

<file path=xl/ctrlProps/ctrlProp207.xml><?xml version="1.0" encoding="utf-8"?>
<formControlPr xmlns="http://schemas.microsoft.com/office/spreadsheetml/2009/9/main" objectType="CheckBox" checked="Checked" fmlaLink="$AI$11" lockText="1" noThreeD="1"/>
</file>

<file path=xl/ctrlProps/ctrlProp208.xml><?xml version="1.0" encoding="utf-8"?>
<formControlPr xmlns="http://schemas.microsoft.com/office/spreadsheetml/2009/9/main" objectType="CheckBox" checked="Checked" fmlaLink="$AI$12" lockText="1" noThreeD="1"/>
</file>

<file path=xl/ctrlProps/ctrlProp209.xml><?xml version="1.0" encoding="utf-8"?>
<formControlPr xmlns="http://schemas.microsoft.com/office/spreadsheetml/2009/9/main" objectType="CheckBox" checked="Checked" fmlaLink="$AI$13" lockText="1" noThreeD="1"/>
</file>

<file path=xl/ctrlProps/ctrlProp21.xml><?xml version="1.0" encoding="utf-8"?>
<formControlPr xmlns="http://schemas.microsoft.com/office/spreadsheetml/2009/9/main" objectType="CheckBox" checked="Checked" fmlaLink="$AL$11" lockText="1" noThreeD="1"/>
</file>

<file path=xl/ctrlProps/ctrlProp210.xml><?xml version="1.0" encoding="utf-8"?>
<formControlPr xmlns="http://schemas.microsoft.com/office/spreadsheetml/2009/9/main" objectType="CheckBox" checked="Checked" fmlaLink="$AI$14" lockText="1" noThreeD="1"/>
</file>

<file path=xl/ctrlProps/ctrlProp211.xml><?xml version="1.0" encoding="utf-8"?>
<formControlPr xmlns="http://schemas.microsoft.com/office/spreadsheetml/2009/9/main" objectType="CheckBox" checked="Checked" fmlaLink="$AI$15" lockText="1" noThreeD="1"/>
</file>

<file path=xl/ctrlProps/ctrlProp212.xml><?xml version="1.0" encoding="utf-8"?>
<formControlPr xmlns="http://schemas.microsoft.com/office/spreadsheetml/2009/9/main" objectType="CheckBox" checked="Checked" fmlaLink="$AI$16" lockText="1" noThreeD="1"/>
</file>

<file path=xl/ctrlProps/ctrlProp213.xml><?xml version="1.0" encoding="utf-8"?>
<formControlPr xmlns="http://schemas.microsoft.com/office/spreadsheetml/2009/9/main" objectType="CheckBox" checked="Checked" fmlaLink="$AI$17" lockText="1" noThreeD="1"/>
</file>

<file path=xl/ctrlProps/ctrlProp214.xml><?xml version="1.0" encoding="utf-8"?>
<formControlPr xmlns="http://schemas.microsoft.com/office/spreadsheetml/2009/9/main" objectType="CheckBox" checked="Checked" fmlaLink="$AI$18" lockText="1" noThreeD="1"/>
</file>

<file path=xl/ctrlProps/ctrlProp215.xml><?xml version="1.0" encoding="utf-8"?>
<formControlPr xmlns="http://schemas.microsoft.com/office/spreadsheetml/2009/9/main" objectType="CheckBox" checked="Checked" fmlaLink="$AI$19" lockText="1" noThreeD="1"/>
</file>

<file path=xl/ctrlProps/ctrlProp216.xml><?xml version="1.0" encoding="utf-8"?>
<formControlPr xmlns="http://schemas.microsoft.com/office/spreadsheetml/2009/9/main" objectType="CheckBox" checked="Checked" fmlaLink="$AI$20" lockText="1" noThreeD="1"/>
</file>

<file path=xl/ctrlProps/ctrlProp217.xml><?xml version="1.0" encoding="utf-8"?>
<formControlPr xmlns="http://schemas.microsoft.com/office/spreadsheetml/2009/9/main" objectType="CheckBox" checked="Checked" fmlaLink="$AI$21" lockText="1" noThreeD="1"/>
</file>

<file path=xl/ctrlProps/ctrlProp218.xml><?xml version="1.0" encoding="utf-8"?>
<formControlPr xmlns="http://schemas.microsoft.com/office/spreadsheetml/2009/9/main" objectType="CheckBox" checked="Checked" fmlaLink="$AI$22" lockText="1" noThreeD="1"/>
</file>

<file path=xl/ctrlProps/ctrlProp219.xml><?xml version="1.0" encoding="utf-8"?>
<formControlPr xmlns="http://schemas.microsoft.com/office/spreadsheetml/2009/9/main" objectType="CheckBox" checked="Checked" fmlaLink="$AI$23" lockText="1" noThreeD="1"/>
</file>

<file path=xl/ctrlProps/ctrlProp22.xml><?xml version="1.0" encoding="utf-8"?>
<formControlPr xmlns="http://schemas.microsoft.com/office/spreadsheetml/2009/9/main" objectType="CheckBox" checked="Checked" fmlaLink="$AH$31" lockText="1" noThreeD="1"/>
</file>

<file path=xl/ctrlProps/ctrlProp220.xml><?xml version="1.0" encoding="utf-8"?>
<formControlPr xmlns="http://schemas.microsoft.com/office/spreadsheetml/2009/9/main" objectType="CheckBox" checked="Checked" fmlaLink="$AI$24" lockText="1" noThreeD="1"/>
</file>

<file path=xl/ctrlProps/ctrlProp221.xml><?xml version="1.0" encoding="utf-8"?>
<formControlPr xmlns="http://schemas.microsoft.com/office/spreadsheetml/2009/9/main" objectType="CheckBox" checked="Checked" fmlaLink="$AI$25" lockText="1" noThreeD="1"/>
</file>

<file path=xl/ctrlProps/ctrlProp222.xml><?xml version="1.0" encoding="utf-8"?>
<formControlPr xmlns="http://schemas.microsoft.com/office/spreadsheetml/2009/9/main" objectType="CheckBox" checked="Checked" fmlaLink="$AI$26" lockText="1" noThreeD="1"/>
</file>

<file path=xl/ctrlProps/ctrlProp223.xml><?xml version="1.0" encoding="utf-8"?>
<formControlPr xmlns="http://schemas.microsoft.com/office/spreadsheetml/2009/9/main" objectType="CheckBox" checked="Checked" fmlaLink="$AI$27" lockText="1" noThreeD="1"/>
</file>

<file path=xl/ctrlProps/ctrlProp224.xml><?xml version="1.0" encoding="utf-8"?>
<formControlPr xmlns="http://schemas.microsoft.com/office/spreadsheetml/2009/9/main" objectType="CheckBox" checked="Checked" fmlaLink="$AI$28" lockText="1" noThreeD="1"/>
</file>

<file path=xl/ctrlProps/ctrlProp225.xml><?xml version="1.0" encoding="utf-8"?>
<formControlPr xmlns="http://schemas.microsoft.com/office/spreadsheetml/2009/9/main" objectType="CheckBox" checked="Checked" fmlaLink="$AI$29" lockText="1" noThreeD="1"/>
</file>

<file path=xl/ctrlProps/ctrlProp226.xml><?xml version="1.0" encoding="utf-8"?>
<formControlPr xmlns="http://schemas.microsoft.com/office/spreadsheetml/2009/9/main" objectType="CheckBox" checked="Checked" fmlaLink="$AI$30" lockText="1" noThreeD="1"/>
</file>

<file path=xl/ctrlProps/ctrlProp227.xml><?xml version="1.0" encoding="utf-8"?>
<formControlPr xmlns="http://schemas.microsoft.com/office/spreadsheetml/2009/9/main" objectType="CheckBox" checked="Checked" fmlaLink="$AI$31" lockText="1" noThreeD="1"/>
</file>

<file path=xl/ctrlProps/ctrlProp228.xml><?xml version="1.0" encoding="utf-8"?>
<formControlPr xmlns="http://schemas.microsoft.com/office/spreadsheetml/2009/9/main" objectType="CheckBox" checked="Checked" fmlaLink="$AI$32" lockText="1" noThreeD="1"/>
</file>

<file path=xl/ctrlProps/ctrlProp229.xml><?xml version="1.0" encoding="utf-8"?>
<formControlPr xmlns="http://schemas.microsoft.com/office/spreadsheetml/2009/9/main" objectType="CheckBox" checked="Checked" fmlaLink="$AI$33" lockText="1" noThreeD="1"/>
</file>

<file path=xl/ctrlProps/ctrlProp23.xml><?xml version="1.0" encoding="utf-8"?>
<formControlPr xmlns="http://schemas.microsoft.com/office/spreadsheetml/2009/9/main" objectType="CheckBox" checked="Checked" fmlaLink="$AH$32" lockText="1" noThreeD="1"/>
</file>

<file path=xl/ctrlProps/ctrlProp230.xml><?xml version="1.0" encoding="utf-8"?>
<formControlPr xmlns="http://schemas.microsoft.com/office/spreadsheetml/2009/9/main" objectType="CheckBox" checked="Checked" fmlaLink="$AI$34" lockText="1" noThreeD="1"/>
</file>

<file path=xl/ctrlProps/ctrlProp231.xml><?xml version="1.0" encoding="utf-8"?>
<formControlPr xmlns="http://schemas.microsoft.com/office/spreadsheetml/2009/9/main" objectType="CheckBox" checked="Checked" fmlaLink="$AI$35" lockText="1" noThreeD="1"/>
</file>

<file path=xl/ctrlProps/ctrlProp232.xml><?xml version="1.0" encoding="utf-8"?>
<formControlPr xmlns="http://schemas.microsoft.com/office/spreadsheetml/2009/9/main" objectType="CheckBox" checked="Checked" fmlaLink="$AI$36" lockText="1" noThreeD="1"/>
</file>

<file path=xl/ctrlProps/ctrlProp233.xml><?xml version="1.0" encoding="utf-8"?>
<formControlPr xmlns="http://schemas.microsoft.com/office/spreadsheetml/2009/9/main" objectType="Radio" checked="Checked" firstButton="1" fmlaLink="$AG$3" lockText="1" noThreeD="1"/>
</file>

<file path=xl/ctrlProps/ctrlProp234.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checked="Checked" fmlaLink="$AH$21" lockText="1" noThreeD="1"/>
</file>

<file path=xl/ctrlProps/ctrlProp25.xml><?xml version="1.0" encoding="utf-8"?>
<formControlPr xmlns="http://schemas.microsoft.com/office/spreadsheetml/2009/9/main" objectType="CheckBox" checked="Checked" fmlaLink="$AH$22" lockText="1" noThreeD="1"/>
</file>

<file path=xl/ctrlProps/ctrlProp26.xml><?xml version="1.0" encoding="utf-8"?>
<formControlPr xmlns="http://schemas.microsoft.com/office/spreadsheetml/2009/9/main" objectType="CheckBox" checked="Checked" fmlaLink="$AH$8" lockText="1" noThreeD="1"/>
</file>

<file path=xl/ctrlProps/ctrlProp27.xml><?xml version="1.0" encoding="utf-8"?>
<formControlPr xmlns="http://schemas.microsoft.com/office/spreadsheetml/2009/9/main" objectType="CheckBox" checked="Checked" fmlaLink="$AH$9" lockText="1" noThreeD="1"/>
</file>

<file path=xl/ctrlProps/ctrlProp28.xml><?xml version="1.0" encoding="utf-8"?>
<formControlPr xmlns="http://schemas.microsoft.com/office/spreadsheetml/2009/9/main" objectType="CheckBox" checked="Checked" fmlaLink="$AH$10" lockText="1" noThreeD="1"/>
</file>

<file path=xl/ctrlProps/ctrlProp29.xml><?xml version="1.0" encoding="utf-8"?>
<formControlPr xmlns="http://schemas.microsoft.com/office/spreadsheetml/2009/9/main" objectType="CheckBox" checked="Checked" fmlaLink="$AH$11" lockText="1" noThreeD="1"/>
</file>

<file path=xl/ctrlProps/ctrlProp3.xml><?xml version="1.0" encoding="utf-8"?>
<formControlPr xmlns="http://schemas.microsoft.com/office/spreadsheetml/2009/9/main" objectType="Radio" noThreeD="1"/>
</file>

<file path=xl/ctrlProps/ctrlProp30.xml><?xml version="1.0" encoding="utf-8"?>
<formControlPr xmlns="http://schemas.microsoft.com/office/spreadsheetml/2009/9/main" objectType="CheckBox" checked="Checked" fmlaLink="$AH$14" lockText="1" noThreeD="1"/>
</file>

<file path=xl/ctrlProps/ctrlProp31.xml><?xml version="1.0" encoding="utf-8"?>
<formControlPr xmlns="http://schemas.microsoft.com/office/spreadsheetml/2009/9/main" objectType="CheckBox" checked="Checked" fmlaLink="$AH$12" lockText="1" noThreeD="1"/>
</file>

<file path=xl/ctrlProps/ctrlProp32.xml><?xml version="1.0" encoding="utf-8"?>
<formControlPr xmlns="http://schemas.microsoft.com/office/spreadsheetml/2009/9/main" objectType="CheckBox" checked="Checked" fmlaLink="$AH$13" lockText="1" noThreeD="1"/>
</file>

<file path=xl/ctrlProps/ctrlProp33.xml><?xml version="1.0" encoding="utf-8"?>
<formControlPr xmlns="http://schemas.microsoft.com/office/spreadsheetml/2009/9/main" objectType="CheckBox" checked="Checked" fmlaLink="$AH$9" lockText="1" noThreeD="1"/>
</file>

<file path=xl/ctrlProps/ctrlProp34.xml><?xml version="1.0" encoding="utf-8"?>
<formControlPr xmlns="http://schemas.microsoft.com/office/spreadsheetml/2009/9/main" objectType="CheckBox" checked="Checked" fmlaLink="$AH$21" lockText="1" noThreeD="1"/>
</file>

<file path=xl/ctrlProps/ctrlProp35.xml><?xml version="1.0" encoding="utf-8"?>
<formControlPr xmlns="http://schemas.microsoft.com/office/spreadsheetml/2009/9/main" objectType="CheckBox" checked="Checked" fmlaLink="$AH$22" lockText="1" noThreeD="1"/>
</file>

<file path=xl/ctrlProps/ctrlProp36.xml><?xml version="1.0" encoding="utf-8"?>
<formControlPr xmlns="http://schemas.microsoft.com/office/spreadsheetml/2009/9/main" objectType="CheckBox" checked="Checked" fmlaLink="$AL$8" lockText="1" noThreeD="1"/>
</file>

<file path=xl/ctrlProps/ctrlProp37.xml><?xml version="1.0" encoding="utf-8"?>
<formControlPr xmlns="http://schemas.microsoft.com/office/spreadsheetml/2009/9/main" objectType="CheckBox" checked="Checked" fmlaLink="$AL$9" lockText="1" noThreeD="1"/>
</file>

<file path=xl/ctrlProps/ctrlProp38.xml><?xml version="1.0" encoding="utf-8"?>
<formControlPr xmlns="http://schemas.microsoft.com/office/spreadsheetml/2009/9/main" objectType="CheckBox" checked="Checked" fmlaLink="$AL$12" lockText="1" noThreeD="1"/>
</file>

<file path=xl/ctrlProps/ctrlProp39.xml><?xml version="1.0" encoding="utf-8"?>
<formControlPr xmlns="http://schemas.microsoft.com/office/spreadsheetml/2009/9/main" objectType="CheckBox" checked="Checked" fmlaLink="$AL$13"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checked="Checked" fmlaLink="$AL$14" lockText="1" noThreeD="1"/>
</file>

<file path=xl/ctrlProps/ctrlProp41.xml><?xml version="1.0" encoding="utf-8"?>
<formControlPr xmlns="http://schemas.microsoft.com/office/spreadsheetml/2009/9/main" objectType="CheckBox" checked="Checked" fmlaLink="$AH$29" lockText="1" noThreeD="1"/>
</file>

<file path=xl/ctrlProps/ctrlProp42.xml><?xml version="1.0" encoding="utf-8"?>
<formControlPr xmlns="http://schemas.microsoft.com/office/spreadsheetml/2009/9/main" objectType="CheckBox" checked="Checked" fmlaLink="$AH$30" lockText="1" noThreeD="1"/>
</file>

<file path=xl/ctrlProps/ctrlProp43.xml><?xml version="1.0" encoding="utf-8"?>
<formControlPr xmlns="http://schemas.microsoft.com/office/spreadsheetml/2009/9/main" objectType="CheckBox" checked="Checked" fmlaLink="$AH$33" lockText="1" noThreeD="1"/>
</file>

<file path=xl/ctrlProps/ctrlProp44.xml><?xml version="1.0" encoding="utf-8"?>
<formControlPr xmlns="http://schemas.microsoft.com/office/spreadsheetml/2009/9/main" objectType="CheckBox" checked="Checked" fmlaLink="$AL$10" lockText="1" noThreeD="1"/>
</file>

<file path=xl/ctrlProps/ctrlProp45.xml><?xml version="1.0" encoding="utf-8"?>
<formControlPr xmlns="http://schemas.microsoft.com/office/spreadsheetml/2009/9/main" objectType="CheckBox" checked="Checked" fmlaLink="$AL$11" lockText="1" noThreeD="1"/>
</file>

<file path=xl/ctrlProps/ctrlProp46.xml><?xml version="1.0" encoding="utf-8"?>
<formControlPr xmlns="http://schemas.microsoft.com/office/spreadsheetml/2009/9/main" objectType="CheckBox" checked="Checked" fmlaLink="$AH$31" lockText="1" noThreeD="1"/>
</file>

<file path=xl/ctrlProps/ctrlProp47.xml><?xml version="1.0" encoding="utf-8"?>
<formControlPr xmlns="http://schemas.microsoft.com/office/spreadsheetml/2009/9/main" objectType="CheckBox" checked="Checked" fmlaLink="$AH$32" lockText="1" noThreeD="1"/>
</file>

<file path=xl/ctrlProps/ctrlProp48.xml><?xml version="1.0" encoding="utf-8"?>
<formControlPr xmlns="http://schemas.microsoft.com/office/spreadsheetml/2009/9/main" objectType="CheckBox" checked="Checked" fmlaLink="$AH$21" lockText="1" noThreeD="1"/>
</file>

<file path=xl/ctrlProps/ctrlProp49.xml><?xml version="1.0" encoding="utf-8"?>
<formControlPr xmlns="http://schemas.microsoft.com/office/spreadsheetml/2009/9/main" objectType="CheckBox" checked="Checked" fmlaLink="$AH$22" lockText="1" noThreeD="1"/>
</file>

<file path=xl/ctrlProps/ctrlProp5.xml><?xml version="1.0" encoding="utf-8"?>
<formControlPr xmlns="http://schemas.microsoft.com/office/spreadsheetml/2009/9/main" objectType="Radio" firstButton="1" fmlaLink="$AG$17" lockText="1" noThreeD="1"/>
</file>

<file path=xl/ctrlProps/ctrlProp50.xml><?xml version="1.0" encoding="utf-8"?>
<formControlPr xmlns="http://schemas.microsoft.com/office/spreadsheetml/2009/9/main" objectType="CheckBox" checked="Checked" fmlaLink="$AH$8" lockText="1" noThreeD="1"/>
</file>

<file path=xl/ctrlProps/ctrlProp51.xml><?xml version="1.0" encoding="utf-8"?>
<formControlPr xmlns="http://schemas.microsoft.com/office/spreadsheetml/2009/9/main" objectType="CheckBox" checked="Checked" fmlaLink="$AH$9" lockText="1" noThreeD="1"/>
</file>

<file path=xl/ctrlProps/ctrlProp52.xml><?xml version="1.0" encoding="utf-8"?>
<formControlPr xmlns="http://schemas.microsoft.com/office/spreadsheetml/2009/9/main" objectType="CheckBox" checked="Checked" fmlaLink="$AH$10" lockText="1" noThreeD="1"/>
</file>

<file path=xl/ctrlProps/ctrlProp53.xml><?xml version="1.0" encoding="utf-8"?>
<formControlPr xmlns="http://schemas.microsoft.com/office/spreadsheetml/2009/9/main" objectType="CheckBox" checked="Checked" fmlaLink="$AH$11" lockText="1" noThreeD="1"/>
</file>

<file path=xl/ctrlProps/ctrlProp54.xml><?xml version="1.0" encoding="utf-8"?>
<formControlPr xmlns="http://schemas.microsoft.com/office/spreadsheetml/2009/9/main" objectType="CheckBox" checked="Checked" fmlaLink="$AH$14" lockText="1" noThreeD="1"/>
</file>

<file path=xl/ctrlProps/ctrlProp55.xml><?xml version="1.0" encoding="utf-8"?>
<formControlPr xmlns="http://schemas.microsoft.com/office/spreadsheetml/2009/9/main" objectType="CheckBox" checked="Checked" fmlaLink="$AH$12" lockText="1" noThreeD="1"/>
</file>

<file path=xl/ctrlProps/ctrlProp56.xml><?xml version="1.0" encoding="utf-8"?>
<formControlPr xmlns="http://schemas.microsoft.com/office/spreadsheetml/2009/9/main" objectType="CheckBox" checked="Checked" fmlaLink="$AH$13" lockText="1" noThreeD="1"/>
</file>

<file path=xl/ctrlProps/ctrlProp57.xml><?xml version="1.0" encoding="utf-8"?>
<formControlPr xmlns="http://schemas.microsoft.com/office/spreadsheetml/2009/9/main" objectType="CheckBox" checked="Checked" fmlaLink="$AH$8" lockText="1" noThreeD="1"/>
</file>

<file path=xl/ctrlProps/ctrlProp58.xml><?xml version="1.0" encoding="utf-8"?>
<formControlPr xmlns="http://schemas.microsoft.com/office/spreadsheetml/2009/9/main" objectType="CheckBox" checked="Checked" fmlaLink="$AH$21" lockText="1" noThreeD="1"/>
</file>

<file path=xl/ctrlProps/ctrlProp59.xml><?xml version="1.0" encoding="utf-8"?>
<formControlPr xmlns="http://schemas.microsoft.com/office/spreadsheetml/2009/9/main" objectType="CheckBox" checked="Checked" fmlaLink="$AH$22"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checked="Checked" fmlaLink="$AL$8" lockText="1" noThreeD="1"/>
</file>

<file path=xl/ctrlProps/ctrlProp61.xml><?xml version="1.0" encoding="utf-8"?>
<formControlPr xmlns="http://schemas.microsoft.com/office/spreadsheetml/2009/9/main" objectType="CheckBox" checked="Checked" fmlaLink="$AL$9" lockText="1" noThreeD="1"/>
</file>

<file path=xl/ctrlProps/ctrlProp62.xml><?xml version="1.0" encoding="utf-8"?>
<formControlPr xmlns="http://schemas.microsoft.com/office/spreadsheetml/2009/9/main" objectType="CheckBox" checked="Checked" fmlaLink="$AL$12" lockText="1" noThreeD="1"/>
</file>

<file path=xl/ctrlProps/ctrlProp63.xml><?xml version="1.0" encoding="utf-8"?>
<formControlPr xmlns="http://schemas.microsoft.com/office/spreadsheetml/2009/9/main" objectType="CheckBox" checked="Checked" fmlaLink="$AL$13" lockText="1" noThreeD="1"/>
</file>

<file path=xl/ctrlProps/ctrlProp64.xml><?xml version="1.0" encoding="utf-8"?>
<formControlPr xmlns="http://schemas.microsoft.com/office/spreadsheetml/2009/9/main" objectType="CheckBox" checked="Checked" fmlaLink="$AL$14" lockText="1" noThreeD="1"/>
</file>

<file path=xl/ctrlProps/ctrlProp65.xml><?xml version="1.0" encoding="utf-8"?>
<formControlPr xmlns="http://schemas.microsoft.com/office/spreadsheetml/2009/9/main" objectType="CheckBox" checked="Checked" fmlaLink="$AH$29" lockText="1" noThreeD="1"/>
</file>

<file path=xl/ctrlProps/ctrlProp66.xml><?xml version="1.0" encoding="utf-8"?>
<formControlPr xmlns="http://schemas.microsoft.com/office/spreadsheetml/2009/9/main" objectType="CheckBox" checked="Checked" fmlaLink="$AH$30" lockText="1" noThreeD="1"/>
</file>

<file path=xl/ctrlProps/ctrlProp67.xml><?xml version="1.0" encoding="utf-8"?>
<formControlPr xmlns="http://schemas.microsoft.com/office/spreadsheetml/2009/9/main" objectType="CheckBox" checked="Checked" fmlaLink="$AH$33" lockText="1" noThreeD="1"/>
</file>

<file path=xl/ctrlProps/ctrlProp68.xml><?xml version="1.0" encoding="utf-8"?>
<formControlPr xmlns="http://schemas.microsoft.com/office/spreadsheetml/2009/9/main" objectType="CheckBox" checked="Checked" fmlaLink="$AL$10" lockText="1" noThreeD="1"/>
</file>

<file path=xl/ctrlProps/ctrlProp69.xml><?xml version="1.0" encoding="utf-8"?>
<formControlPr xmlns="http://schemas.microsoft.com/office/spreadsheetml/2009/9/main" objectType="CheckBox" checked="Checked" fmlaLink="$AL$1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checked="Checked" fmlaLink="$AH$31" lockText="1" noThreeD="1"/>
</file>

<file path=xl/ctrlProps/ctrlProp71.xml><?xml version="1.0" encoding="utf-8"?>
<formControlPr xmlns="http://schemas.microsoft.com/office/spreadsheetml/2009/9/main" objectType="CheckBox" checked="Checked" fmlaLink="$AH$32" lockText="1" noThreeD="1"/>
</file>

<file path=xl/ctrlProps/ctrlProp72.xml><?xml version="1.0" encoding="utf-8"?>
<formControlPr xmlns="http://schemas.microsoft.com/office/spreadsheetml/2009/9/main" objectType="CheckBox" checked="Checked" fmlaLink="$AH$21" lockText="1" noThreeD="1"/>
</file>

<file path=xl/ctrlProps/ctrlProp73.xml><?xml version="1.0" encoding="utf-8"?>
<formControlPr xmlns="http://schemas.microsoft.com/office/spreadsheetml/2009/9/main" objectType="CheckBox" checked="Checked" fmlaLink="$AH$22" lockText="1" noThreeD="1"/>
</file>

<file path=xl/ctrlProps/ctrlProp74.xml><?xml version="1.0" encoding="utf-8"?>
<formControlPr xmlns="http://schemas.microsoft.com/office/spreadsheetml/2009/9/main" objectType="CheckBox" checked="Checked" fmlaLink="$AH$8" lockText="1" noThreeD="1"/>
</file>

<file path=xl/ctrlProps/ctrlProp75.xml><?xml version="1.0" encoding="utf-8"?>
<formControlPr xmlns="http://schemas.microsoft.com/office/spreadsheetml/2009/9/main" objectType="CheckBox" checked="Checked" fmlaLink="$AH$9" lockText="1" noThreeD="1"/>
</file>

<file path=xl/ctrlProps/ctrlProp76.xml><?xml version="1.0" encoding="utf-8"?>
<formControlPr xmlns="http://schemas.microsoft.com/office/spreadsheetml/2009/9/main" objectType="CheckBox" checked="Checked" fmlaLink="$AH$10" lockText="1" noThreeD="1"/>
</file>

<file path=xl/ctrlProps/ctrlProp77.xml><?xml version="1.0" encoding="utf-8"?>
<formControlPr xmlns="http://schemas.microsoft.com/office/spreadsheetml/2009/9/main" objectType="CheckBox" checked="Checked" fmlaLink="$AH$11" lockText="1" noThreeD="1"/>
</file>

<file path=xl/ctrlProps/ctrlProp78.xml><?xml version="1.0" encoding="utf-8"?>
<formControlPr xmlns="http://schemas.microsoft.com/office/spreadsheetml/2009/9/main" objectType="CheckBox" checked="Checked" fmlaLink="$AH$14" lockText="1" noThreeD="1"/>
</file>

<file path=xl/ctrlProps/ctrlProp79.xml><?xml version="1.0" encoding="utf-8"?>
<formControlPr xmlns="http://schemas.microsoft.com/office/spreadsheetml/2009/9/main" objectType="CheckBox" checked="Checked" fmlaLink="$AH$12"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CheckBox" checked="Checked" fmlaLink="$AH$13" lockText="1" noThreeD="1"/>
</file>

<file path=xl/ctrlProps/ctrlProp81.xml><?xml version="1.0" encoding="utf-8"?>
<formControlPr xmlns="http://schemas.microsoft.com/office/spreadsheetml/2009/9/main" objectType="CheckBox" checked="Checked" fmlaLink="$AH$8" lockText="1" noThreeD="1"/>
</file>

<file path=xl/ctrlProps/ctrlProp82.xml><?xml version="1.0" encoding="utf-8"?>
<formControlPr xmlns="http://schemas.microsoft.com/office/spreadsheetml/2009/9/main" objectType="CheckBox" checked="Checked" fmlaLink="$AH$21" lockText="1" noThreeD="1"/>
</file>

<file path=xl/ctrlProps/ctrlProp83.xml><?xml version="1.0" encoding="utf-8"?>
<formControlPr xmlns="http://schemas.microsoft.com/office/spreadsheetml/2009/9/main" objectType="CheckBox" checked="Checked" fmlaLink="$AH$22" lockText="1" noThreeD="1"/>
</file>

<file path=xl/ctrlProps/ctrlProp84.xml><?xml version="1.0" encoding="utf-8"?>
<formControlPr xmlns="http://schemas.microsoft.com/office/spreadsheetml/2009/9/main" objectType="CheckBox" checked="Checked" fmlaLink="$AL$8" lockText="1" noThreeD="1"/>
</file>

<file path=xl/ctrlProps/ctrlProp85.xml><?xml version="1.0" encoding="utf-8"?>
<formControlPr xmlns="http://schemas.microsoft.com/office/spreadsheetml/2009/9/main" objectType="CheckBox" checked="Checked" fmlaLink="$AL$9" lockText="1" noThreeD="1"/>
</file>

<file path=xl/ctrlProps/ctrlProp86.xml><?xml version="1.0" encoding="utf-8"?>
<formControlPr xmlns="http://schemas.microsoft.com/office/spreadsheetml/2009/9/main" objectType="CheckBox" checked="Checked" fmlaLink="$AL$12" lockText="1" noThreeD="1"/>
</file>

<file path=xl/ctrlProps/ctrlProp87.xml><?xml version="1.0" encoding="utf-8"?>
<formControlPr xmlns="http://schemas.microsoft.com/office/spreadsheetml/2009/9/main" objectType="CheckBox" checked="Checked" fmlaLink="$AL$13" lockText="1" noThreeD="1"/>
</file>

<file path=xl/ctrlProps/ctrlProp88.xml><?xml version="1.0" encoding="utf-8"?>
<formControlPr xmlns="http://schemas.microsoft.com/office/spreadsheetml/2009/9/main" objectType="CheckBox" checked="Checked" fmlaLink="$AL$14" lockText="1" noThreeD="1"/>
</file>

<file path=xl/ctrlProps/ctrlProp89.xml><?xml version="1.0" encoding="utf-8"?>
<formControlPr xmlns="http://schemas.microsoft.com/office/spreadsheetml/2009/9/main" objectType="CheckBox" checked="Checked" fmlaLink="$AH$29"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checked="Checked" fmlaLink="$AH$30" lockText="1" noThreeD="1"/>
</file>

<file path=xl/ctrlProps/ctrlProp91.xml><?xml version="1.0" encoding="utf-8"?>
<formControlPr xmlns="http://schemas.microsoft.com/office/spreadsheetml/2009/9/main" objectType="CheckBox" checked="Checked" fmlaLink="$AH$33" lockText="1" noThreeD="1"/>
</file>

<file path=xl/ctrlProps/ctrlProp92.xml><?xml version="1.0" encoding="utf-8"?>
<formControlPr xmlns="http://schemas.microsoft.com/office/spreadsheetml/2009/9/main" objectType="CheckBox" checked="Checked" fmlaLink="$AL$10" lockText="1" noThreeD="1"/>
</file>

<file path=xl/ctrlProps/ctrlProp93.xml><?xml version="1.0" encoding="utf-8"?>
<formControlPr xmlns="http://schemas.microsoft.com/office/spreadsheetml/2009/9/main" objectType="CheckBox" checked="Checked" fmlaLink="$AL$11" lockText="1" noThreeD="1"/>
</file>

<file path=xl/ctrlProps/ctrlProp94.xml><?xml version="1.0" encoding="utf-8"?>
<formControlPr xmlns="http://schemas.microsoft.com/office/spreadsheetml/2009/9/main" objectType="CheckBox" checked="Checked" fmlaLink="$AH$31" lockText="1" noThreeD="1"/>
</file>

<file path=xl/ctrlProps/ctrlProp95.xml><?xml version="1.0" encoding="utf-8"?>
<formControlPr xmlns="http://schemas.microsoft.com/office/spreadsheetml/2009/9/main" objectType="CheckBox" checked="Checked" fmlaLink="$AH$32" lockText="1" noThreeD="1"/>
</file>

<file path=xl/ctrlProps/ctrlProp96.xml><?xml version="1.0" encoding="utf-8"?>
<formControlPr xmlns="http://schemas.microsoft.com/office/spreadsheetml/2009/9/main" objectType="CheckBox" checked="Checked" fmlaLink="$AH$21" lockText="1" noThreeD="1"/>
</file>

<file path=xl/ctrlProps/ctrlProp97.xml><?xml version="1.0" encoding="utf-8"?>
<formControlPr xmlns="http://schemas.microsoft.com/office/spreadsheetml/2009/9/main" objectType="CheckBox" checked="Checked" fmlaLink="$AH$22" lockText="1" noThreeD="1"/>
</file>

<file path=xl/ctrlProps/ctrlProp98.xml><?xml version="1.0" encoding="utf-8"?>
<formControlPr xmlns="http://schemas.microsoft.com/office/spreadsheetml/2009/9/main" objectType="CheckBox" checked="Checked" fmlaLink="$AH$8" lockText="1" noThreeD="1"/>
</file>

<file path=xl/ctrlProps/ctrlProp99.xml><?xml version="1.0" encoding="utf-8"?>
<formControlPr xmlns="http://schemas.microsoft.com/office/spreadsheetml/2009/9/main" objectType="CheckBox" checked="Checked" fmlaLink="$AH$9"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28575</xdr:colOff>
          <xdr:row>18</xdr:row>
          <xdr:rowOff>95250</xdr:rowOff>
        </xdr:from>
        <xdr:to>
          <xdr:col>25</xdr:col>
          <xdr:colOff>247650</xdr:colOff>
          <xdr:row>18</xdr:row>
          <xdr:rowOff>295275</xdr:rowOff>
        </xdr:to>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0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19</xdr:row>
          <xdr:rowOff>95250</xdr:rowOff>
        </xdr:from>
        <xdr:to>
          <xdr:col>25</xdr:col>
          <xdr:colOff>247650</xdr:colOff>
          <xdr:row>19</xdr:row>
          <xdr:rowOff>295275</xdr:rowOff>
        </xdr:to>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0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15</xdr:row>
          <xdr:rowOff>95250</xdr:rowOff>
        </xdr:from>
        <xdr:to>
          <xdr:col>25</xdr:col>
          <xdr:colOff>247650</xdr:colOff>
          <xdr:row>15</xdr:row>
          <xdr:rowOff>295275</xdr:rowOff>
        </xdr:to>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0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45</xdr:col>
      <xdr:colOff>0</xdr:colOff>
      <xdr:row>1</xdr:row>
      <xdr:rowOff>0</xdr:rowOff>
    </xdr:from>
    <xdr:to>
      <xdr:col>70</xdr:col>
      <xdr:colOff>98878</xdr:colOff>
      <xdr:row>17</xdr:row>
      <xdr:rowOff>361950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972550" y="57150"/>
          <a:ext cx="7042603" cy="639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が著作権を有する「エクセル外皮計算シート」を提供するサービス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④本サービスは、作成環境と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Excel</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バージョンが異なる場合等、動作環境によって、一部の機能が失われるなど、正常に実行されなくなる可能性があることをあらかじめご了承下さい。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⑤本サービスの内容は、国立研究開発法人建築研究所が公表するエネルギー消費性能の評価に関する技術情報の最新版の内容と齟齬がある可能性があることをあらかじめご了承下さい。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                                                                                           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xdr:txBody>
    </xdr:sp>
    <xdr:clientData/>
  </xdr:twoCellAnchor>
  <xdr:twoCellAnchor editAs="oneCell">
    <xdr:from>
      <xdr:col>54</xdr:col>
      <xdr:colOff>205014</xdr:colOff>
      <xdr:row>18</xdr:row>
      <xdr:rowOff>236018</xdr:rowOff>
    </xdr:from>
    <xdr:to>
      <xdr:col>60</xdr:col>
      <xdr:colOff>77107</xdr:colOff>
      <xdr:row>19</xdr:row>
      <xdr:rowOff>123533</xdr:rowOff>
    </xdr:to>
    <xdr:sp macro="" textlink="">
      <xdr:nvSpPr>
        <xdr:cNvPr id="7" name="二等辺三角形 6">
          <a:extLst>
            <a:ext uri="{FF2B5EF4-FFF2-40B4-BE49-F238E27FC236}">
              <a16:creationId xmlns:a16="http://schemas.microsoft.com/office/drawing/2014/main" id="{00000000-0008-0000-0000-000007000000}"/>
            </a:ext>
          </a:extLst>
        </xdr:cNvPr>
        <xdr:cNvSpPr/>
      </xdr:nvSpPr>
      <xdr:spPr>
        <a:xfrm rot="10800000">
          <a:off x="11149239" y="6703493"/>
          <a:ext cx="1529443"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45</xdr:col>
          <xdr:colOff>0</xdr:colOff>
          <xdr:row>20</xdr:row>
          <xdr:rowOff>0</xdr:rowOff>
        </xdr:from>
        <xdr:to>
          <xdr:col>70</xdr:col>
          <xdr:colOff>152400</xdr:colOff>
          <xdr:row>24</xdr:row>
          <xdr:rowOff>9525</xdr:rowOff>
        </xdr:to>
        <xdr:sp macro="" textlink="">
          <xdr:nvSpPr>
            <xdr:cNvPr id="69672" name="Group Box 40" hidden="1">
              <a:extLst>
                <a:ext uri="{63B3BB69-23CF-44E3-9099-C40C66FF867C}">
                  <a14:compatExt spid="_x0000_s69672"/>
                </a:ext>
                <a:ext uri="{FF2B5EF4-FFF2-40B4-BE49-F238E27FC236}">
                  <a16:creationId xmlns:a16="http://schemas.microsoft.com/office/drawing/2014/main" id="{00000000-0008-0000-0000-00002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45</xdr:col>
      <xdr:colOff>93435</xdr:colOff>
      <xdr:row>20</xdr:row>
      <xdr:rowOff>48556</xdr:rowOff>
    </xdr:from>
    <xdr:to>
      <xdr:col>70</xdr:col>
      <xdr:colOff>90714</xdr:colOff>
      <xdr:row>22</xdr:row>
      <xdr:rowOff>176731</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13535" y="7278031"/>
          <a:ext cx="6941004" cy="89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xdr:twoCellAnchor editAs="oneCell">
    <xdr:from>
      <xdr:col>48</xdr:col>
      <xdr:colOff>98879</xdr:colOff>
      <xdr:row>22</xdr:row>
      <xdr:rowOff>90126</xdr:rowOff>
    </xdr:from>
    <xdr:to>
      <xdr:col>56</xdr:col>
      <xdr:colOff>252186</xdr:colOff>
      <xdr:row>23</xdr:row>
      <xdr:rowOff>131855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385754" y="8081601"/>
          <a:ext cx="2363107"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editAs="oneCell">
    <xdr:from>
      <xdr:col>59</xdr:col>
      <xdr:colOff>11206</xdr:colOff>
      <xdr:row>22</xdr:row>
      <xdr:rowOff>90126</xdr:rowOff>
    </xdr:from>
    <xdr:to>
      <xdr:col>68</xdr:col>
      <xdr:colOff>244021</xdr:colOff>
      <xdr:row>23</xdr:row>
      <xdr:rowOff>131855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651441" y="8079920"/>
          <a:ext cx="2754140"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editAs="oneCell">
    <xdr:from>
      <xdr:col>45</xdr:col>
      <xdr:colOff>234042</xdr:colOff>
      <xdr:row>24</xdr:row>
      <xdr:rowOff>86728</xdr:rowOff>
    </xdr:from>
    <xdr:to>
      <xdr:col>68</xdr:col>
      <xdr:colOff>258534</xdr:colOff>
      <xdr:row>26</xdr:row>
      <xdr:rowOff>40821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654142" y="8840203"/>
          <a:ext cx="6415768" cy="716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r>
            <a:rPr lang="en-US" altLang="ja-JP"/>
            <a:t>※</a:t>
          </a:r>
          <a:r>
            <a:rPr lang="ja-JP" altLang="en-US"/>
            <a:t>よくある質問については「外皮計算書簡単ガイド」をご一読ください。</a:t>
          </a:r>
          <a:endParaRPr lang="ja-JP" altLang="en-US">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247650</xdr:colOff>
          <xdr:row>21</xdr:row>
          <xdr:rowOff>352425</xdr:rowOff>
        </xdr:from>
        <xdr:to>
          <xdr:col>48</xdr:col>
          <xdr:colOff>266700</xdr:colOff>
          <xdr:row>23</xdr:row>
          <xdr:rowOff>180975</xdr:rowOff>
        </xdr:to>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0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22</xdr:row>
          <xdr:rowOff>47625</xdr:rowOff>
        </xdr:from>
        <xdr:to>
          <xdr:col>59</xdr:col>
          <xdr:colOff>123825</xdr:colOff>
          <xdr:row>23</xdr:row>
          <xdr:rowOff>123825</xdr:rowOff>
        </xdr:to>
        <xdr:sp macro="" textlink="">
          <xdr:nvSpPr>
            <xdr:cNvPr id="69674" name="Option Button 42" hidden="1">
              <a:extLst>
                <a:ext uri="{63B3BB69-23CF-44E3-9099-C40C66FF867C}">
                  <a14:compatExt spid="_x0000_s69674"/>
                </a:ext>
                <a:ext uri="{FF2B5EF4-FFF2-40B4-BE49-F238E27FC236}">
                  <a16:creationId xmlns:a16="http://schemas.microsoft.com/office/drawing/2014/main" id="{00000000-0008-0000-0000-00002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247650</xdr:colOff>
          <xdr:row>21</xdr:row>
          <xdr:rowOff>247650</xdr:rowOff>
        </xdr:from>
        <xdr:to>
          <xdr:col>60</xdr:col>
          <xdr:colOff>152400</xdr:colOff>
          <xdr:row>24</xdr:row>
          <xdr:rowOff>333375</xdr:rowOff>
        </xdr:to>
        <xdr:sp macro="" textlink="">
          <xdr:nvSpPr>
            <xdr:cNvPr id="69675" name="Group Box 43" hidden="1">
              <a:extLst>
                <a:ext uri="{63B3BB69-23CF-44E3-9099-C40C66FF867C}">
                  <a14:compatExt spid="_x0000_s69675"/>
                </a:ext>
                <a:ext uri="{FF2B5EF4-FFF2-40B4-BE49-F238E27FC236}">
                  <a16:creationId xmlns:a16="http://schemas.microsoft.com/office/drawing/2014/main" id="{00000000-0008-0000-0000-00002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16</xdr:row>
          <xdr:rowOff>104775</xdr:rowOff>
        </xdr:from>
        <xdr:to>
          <xdr:col>25</xdr:col>
          <xdr:colOff>257175</xdr:colOff>
          <xdr:row>16</xdr:row>
          <xdr:rowOff>304800</xdr:rowOff>
        </xdr:to>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0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104775</xdr:rowOff>
        </xdr:from>
        <xdr:to>
          <xdr:col>25</xdr:col>
          <xdr:colOff>257175</xdr:colOff>
          <xdr:row>17</xdr:row>
          <xdr:rowOff>304800</xdr:rowOff>
        </xdr:to>
        <xdr:sp macro="" textlink="">
          <xdr:nvSpPr>
            <xdr:cNvPr id="69677" name="Option Button 45" hidden="1">
              <a:extLst>
                <a:ext uri="{63B3BB69-23CF-44E3-9099-C40C66FF867C}">
                  <a14:compatExt spid="_x0000_s69677"/>
                </a:ext>
                <a:ext uri="{FF2B5EF4-FFF2-40B4-BE49-F238E27FC236}">
                  <a16:creationId xmlns:a16="http://schemas.microsoft.com/office/drawing/2014/main" id="{00000000-0008-0000-0000-00002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22</xdr:row>
          <xdr:rowOff>19050</xdr:rowOff>
        </xdr:from>
        <xdr:to>
          <xdr:col>61</xdr:col>
          <xdr:colOff>28575</xdr:colOff>
          <xdr:row>25</xdr:row>
          <xdr:rowOff>104775</xdr:rowOff>
        </xdr:to>
        <xdr:sp macro="" textlink="">
          <xdr:nvSpPr>
            <xdr:cNvPr id="69682" name="Group Box 50" hidden="1">
              <a:extLst>
                <a:ext uri="{63B3BB69-23CF-44E3-9099-C40C66FF867C}">
                  <a14:compatExt spid="_x0000_s69682"/>
                </a:ext>
                <a:ext uri="{FF2B5EF4-FFF2-40B4-BE49-F238E27FC236}">
                  <a16:creationId xmlns:a16="http://schemas.microsoft.com/office/drawing/2014/main" id="{00000000-0008-0000-0000-000032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xdr:row>
          <xdr:rowOff>85725</xdr:rowOff>
        </xdr:from>
        <xdr:to>
          <xdr:col>25</xdr:col>
          <xdr:colOff>247650</xdr:colOff>
          <xdr:row>20</xdr:row>
          <xdr:rowOff>285750</xdr:rowOff>
        </xdr:to>
        <xdr:sp macro="" textlink="">
          <xdr:nvSpPr>
            <xdr:cNvPr id="69684" name="Option Button 52" hidden="1">
              <a:extLst>
                <a:ext uri="{63B3BB69-23CF-44E3-9099-C40C66FF867C}">
                  <a14:compatExt spid="_x0000_s69684"/>
                </a:ext>
                <a:ext uri="{FF2B5EF4-FFF2-40B4-BE49-F238E27FC236}">
                  <a16:creationId xmlns:a16="http://schemas.microsoft.com/office/drawing/2014/main" id="{00000000-0008-0000-0000-00003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6</xdr:row>
          <xdr:rowOff>47625</xdr:rowOff>
        </xdr:from>
        <xdr:to>
          <xdr:col>14</xdr:col>
          <xdr:colOff>219075</xdr:colOff>
          <xdr:row>6</xdr:row>
          <xdr:rowOff>257175</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0900-00000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219075</xdr:colOff>
          <xdr:row>7</xdr:row>
          <xdr:rowOff>257175</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0900-00000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219075</xdr:colOff>
          <xdr:row>8</xdr:row>
          <xdr:rowOff>257175</xdr:rowOff>
        </xdr:to>
        <xdr:sp macro="" textlink="">
          <xdr:nvSpPr>
            <xdr:cNvPr id="143363" name="Check Box 3" hidden="1">
              <a:extLst>
                <a:ext uri="{63B3BB69-23CF-44E3-9099-C40C66FF867C}">
                  <a14:compatExt spid="_x0000_s143363"/>
                </a:ext>
                <a:ext uri="{FF2B5EF4-FFF2-40B4-BE49-F238E27FC236}">
                  <a16:creationId xmlns:a16="http://schemas.microsoft.com/office/drawing/2014/main" id="{00000000-0008-0000-0900-000003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219075</xdr:colOff>
          <xdr:row>9</xdr:row>
          <xdr:rowOff>257175</xdr:rowOff>
        </xdr:to>
        <xdr:sp macro="" textlink="">
          <xdr:nvSpPr>
            <xdr:cNvPr id="143364" name="Check Box 4" hidden="1">
              <a:extLst>
                <a:ext uri="{63B3BB69-23CF-44E3-9099-C40C66FF867C}">
                  <a14:compatExt spid="_x0000_s143364"/>
                </a:ext>
                <a:ext uri="{FF2B5EF4-FFF2-40B4-BE49-F238E27FC236}">
                  <a16:creationId xmlns:a16="http://schemas.microsoft.com/office/drawing/2014/main" id="{00000000-0008-0000-0900-000004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219075</xdr:colOff>
          <xdr:row>10</xdr:row>
          <xdr:rowOff>257175</xdr:rowOff>
        </xdr:to>
        <xdr:sp macro="" textlink="">
          <xdr:nvSpPr>
            <xdr:cNvPr id="143365" name="Check Box 5" hidden="1">
              <a:extLst>
                <a:ext uri="{63B3BB69-23CF-44E3-9099-C40C66FF867C}">
                  <a14:compatExt spid="_x0000_s143365"/>
                </a:ext>
                <a:ext uri="{FF2B5EF4-FFF2-40B4-BE49-F238E27FC236}">
                  <a16:creationId xmlns:a16="http://schemas.microsoft.com/office/drawing/2014/main" id="{00000000-0008-0000-0900-000005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219075</xdr:colOff>
          <xdr:row>11</xdr:row>
          <xdr:rowOff>257175</xdr:rowOff>
        </xdr:to>
        <xdr:sp macro="" textlink="">
          <xdr:nvSpPr>
            <xdr:cNvPr id="143366" name="Check Box 6" hidden="1">
              <a:extLst>
                <a:ext uri="{63B3BB69-23CF-44E3-9099-C40C66FF867C}">
                  <a14:compatExt spid="_x0000_s143366"/>
                </a:ext>
                <a:ext uri="{FF2B5EF4-FFF2-40B4-BE49-F238E27FC236}">
                  <a16:creationId xmlns:a16="http://schemas.microsoft.com/office/drawing/2014/main" id="{00000000-0008-0000-0900-000006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219075</xdr:colOff>
          <xdr:row>12</xdr:row>
          <xdr:rowOff>257175</xdr:rowOff>
        </xdr:to>
        <xdr:sp macro="" textlink="">
          <xdr:nvSpPr>
            <xdr:cNvPr id="143367" name="Check Box 7" hidden="1">
              <a:extLst>
                <a:ext uri="{63B3BB69-23CF-44E3-9099-C40C66FF867C}">
                  <a14:compatExt spid="_x0000_s143367"/>
                </a:ext>
                <a:ext uri="{FF2B5EF4-FFF2-40B4-BE49-F238E27FC236}">
                  <a16:creationId xmlns:a16="http://schemas.microsoft.com/office/drawing/2014/main" id="{00000000-0008-0000-0900-000007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219075</xdr:colOff>
          <xdr:row>13</xdr:row>
          <xdr:rowOff>257175</xdr:rowOff>
        </xdr:to>
        <xdr:sp macro="" textlink="">
          <xdr:nvSpPr>
            <xdr:cNvPr id="143368" name="Check Box 8" hidden="1">
              <a:extLst>
                <a:ext uri="{63B3BB69-23CF-44E3-9099-C40C66FF867C}">
                  <a14:compatExt spid="_x0000_s143368"/>
                </a:ext>
                <a:ext uri="{FF2B5EF4-FFF2-40B4-BE49-F238E27FC236}">
                  <a16:creationId xmlns:a16="http://schemas.microsoft.com/office/drawing/2014/main" id="{00000000-0008-0000-0900-000008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219075</xdr:colOff>
          <xdr:row>14</xdr:row>
          <xdr:rowOff>257175</xdr:rowOff>
        </xdr:to>
        <xdr:sp macro="" textlink="">
          <xdr:nvSpPr>
            <xdr:cNvPr id="143369" name="Check Box 9" hidden="1">
              <a:extLst>
                <a:ext uri="{63B3BB69-23CF-44E3-9099-C40C66FF867C}">
                  <a14:compatExt spid="_x0000_s143369"/>
                </a:ext>
                <a:ext uri="{FF2B5EF4-FFF2-40B4-BE49-F238E27FC236}">
                  <a16:creationId xmlns:a16="http://schemas.microsoft.com/office/drawing/2014/main" id="{00000000-0008-0000-0900-000009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219075</xdr:colOff>
          <xdr:row>15</xdr:row>
          <xdr:rowOff>257175</xdr:rowOff>
        </xdr:to>
        <xdr:sp macro="" textlink="">
          <xdr:nvSpPr>
            <xdr:cNvPr id="143370" name="Check Box 10" hidden="1">
              <a:extLst>
                <a:ext uri="{63B3BB69-23CF-44E3-9099-C40C66FF867C}">
                  <a14:compatExt spid="_x0000_s143370"/>
                </a:ext>
                <a:ext uri="{FF2B5EF4-FFF2-40B4-BE49-F238E27FC236}">
                  <a16:creationId xmlns:a16="http://schemas.microsoft.com/office/drawing/2014/main" id="{00000000-0008-0000-0900-00000A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219075</xdr:colOff>
          <xdr:row>16</xdr:row>
          <xdr:rowOff>257175</xdr:rowOff>
        </xdr:to>
        <xdr:sp macro="" textlink="">
          <xdr:nvSpPr>
            <xdr:cNvPr id="143371" name="Check Box 11" hidden="1">
              <a:extLst>
                <a:ext uri="{63B3BB69-23CF-44E3-9099-C40C66FF867C}">
                  <a14:compatExt spid="_x0000_s143371"/>
                </a:ext>
                <a:ext uri="{FF2B5EF4-FFF2-40B4-BE49-F238E27FC236}">
                  <a16:creationId xmlns:a16="http://schemas.microsoft.com/office/drawing/2014/main" id="{00000000-0008-0000-0900-00000B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219075</xdr:colOff>
          <xdr:row>17</xdr:row>
          <xdr:rowOff>257175</xdr:rowOff>
        </xdr:to>
        <xdr:sp macro="" textlink="">
          <xdr:nvSpPr>
            <xdr:cNvPr id="143372" name="Check Box 12" hidden="1">
              <a:extLst>
                <a:ext uri="{63B3BB69-23CF-44E3-9099-C40C66FF867C}">
                  <a14:compatExt spid="_x0000_s143372"/>
                </a:ext>
                <a:ext uri="{FF2B5EF4-FFF2-40B4-BE49-F238E27FC236}">
                  <a16:creationId xmlns:a16="http://schemas.microsoft.com/office/drawing/2014/main" id="{00000000-0008-0000-0900-00000C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219075</xdr:colOff>
          <xdr:row>18</xdr:row>
          <xdr:rowOff>257175</xdr:rowOff>
        </xdr:to>
        <xdr:sp macro="" textlink="">
          <xdr:nvSpPr>
            <xdr:cNvPr id="143373" name="Check Box 13" hidden="1">
              <a:extLst>
                <a:ext uri="{63B3BB69-23CF-44E3-9099-C40C66FF867C}">
                  <a14:compatExt spid="_x0000_s143373"/>
                </a:ext>
                <a:ext uri="{FF2B5EF4-FFF2-40B4-BE49-F238E27FC236}">
                  <a16:creationId xmlns:a16="http://schemas.microsoft.com/office/drawing/2014/main" id="{00000000-0008-0000-0900-00000D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19</xdr:row>
          <xdr:rowOff>47625</xdr:rowOff>
        </xdr:from>
        <xdr:to>
          <xdr:col>14</xdr:col>
          <xdr:colOff>219075</xdr:colOff>
          <xdr:row>19</xdr:row>
          <xdr:rowOff>257175</xdr:rowOff>
        </xdr:to>
        <xdr:sp macro="" textlink="">
          <xdr:nvSpPr>
            <xdr:cNvPr id="143374" name="Check Box 14" hidden="1">
              <a:extLst>
                <a:ext uri="{63B3BB69-23CF-44E3-9099-C40C66FF867C}">
                  <a14:compatExt spid="_x0000_s143374"/>
                </a:ext>
                <a:ext uri="{FF2B5EF4-FFF2-40B4-BE49-F238E27FC236}">
                  <a16:creationId xmlns:a16="http://schemas.microsoft.com/office/drawing/2014/main" id="{00000000-0008-0000-0900-00000E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20</xdr:row>
          <xdr:rowOff>47625</xdr:rowOff>
        </xdr:from>
        <xdr:to>
          <xdr:col>14</xdr:col>
          <xdr:colOff>219075</xdr:colOff>
          <xdr:row>20</xdr:row>
          <xdr:rowOff>257175</xdr:rowOff>
        </xdr:to>
        <xdr:sp macro="" textlink="">
          <xdr:nvSpPr>
            <xdr:cNvPr id="143375" name="Check Box 15" hidden="1">
              <a:extLst>
                <a:ext uri="{63B3BB69-23CF-44E3-9099-C40C66FF867C}">
                  <a14:compatExt spid="_x0000_s143375"/>
                </a:ext>
                <a:ext uri="{FF2B5EF4-FFF2-40B4-BE49-F238E27FC236}">
                  <a16:creationId xmlns:a16="http://schemas.microsoft.com/office/drawing/2014/main" id="{00000000-0008-0000-0900-00000F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21</xdr:row>
          <xdr:rowOff>47625</xdr:rowOff>
        </xdr:from>
        <xdr:to>
          <xdr:col>14</xdr:col>
          <xdr:colOff>219075</xdr:colOff>
          <xdr:row>21</xdr:row>
          <xdr:rowOff>257175</xdr:rowOff>
        </xdr:to>
        <xdr:sp macro="" textlink="">
          <xdr:nvSpPr>
            <xdr:cNvPr id="143376" name="Check Box 16" hidden="1">
              <a:extLst>
                <a:ext uri="{63B3BB69-23CF-44E3-9099-C40C66FF867C}">
                  <a14:compatExt spid="_x0000_s143376"/>
                </a:ext>
                <a:ext uri="{FF2B5EF4-FFF2-40B4-BE49-F238E27FC236}">
                  <a16:creationId xmlns:a16="http://schemas.microsoft.com/office/drawing/2014/main" id="{00000000-0008-0000-0900-000010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22</xdr:row>
          <xdr:rowOff>47625</xdr:rowOff>
        </xdr:from>
        <xdr:to>
          <xdr:col>14</xdr:col>
          <xdr:colOff>219075</xdr:colOff>
          <xdr:row>22</xdr:row>
          <xdr:rowOff>257175</xdr:rowOff>
        </xdr:to>
        <xdr:sp macro="" textlink="">
          <xdr:nvSpPr>
            <xdr:cNvPr id="143377" name="Check Box 17" hidden="1">
              <a:extLst>
                <a:ext uri="{63B3BB69-23CF-44E3-9099-C40C66FF867C}">
                  <a14:compatExt spid="_x0000_s143377"/>
                </a:ext>
                <a:ext uri="{FF2B5EF4-FFF2-40B4-BE49-F238E27FC236}">
                  <a16:creationId xmlns:a16="http://schemas.microsoft.com/office/drawing/2014/main" id="{00000000-0008-0000-0900-00001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23</xdr:row>
          <xdr:rowOff>47625</xdr:rowOff>
        </xdr:from>
        <xdr:to>
          <xdr:col>14</xdr:col>
          <xdr:colOff>219075</xdr:colOff>
          <xdr:row>23</xdr:row>
          <xdr:rowOff>257175</xdr:rowOff>
        </xdr:to>
        <xdr:sp macro="" textlink="">
          <xdr:nvSpPr>
            <xdr:cNvPr id="143378" name="Check Box 18" hidden="1">
              <a:extLst>
                <a:ext uri="{63B3BB69-23CF-44E3-9099-C40C66FF867C}">
                  <a14:compatExt spid="_x0000_s143378"/>
                </a:ext>
                <a:ext uri="{FF2B5EF4-FFF2-40B4-BE49-F238E27FC236}">
                  <a16:creationId xmlns:a16="http://schemas.microsoft.com/office/drawing/2014/main" id="{00000000-0008-0000-0900-00001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47625</xdr:rowOff>
        </xdr:from>
        <xdr:to>
          <xdr:col>14</xdr:col>
          <xdr:colOff>219075</xdr:colOff>
          <xdr:row>24</xdr:row>
          <xdr:rowOff>257175</xdr:rowOff>
        </xdr:to>
        <xdr:sp macro="" textlink="">
          <xdr:nvSpPr>
            <xdr:cNvPr id="143379" name="Check Box 19" hidden="1">
              <a:extLst>
                <a:ext uri="{63B3BB69-23CF-44E3-9099-C40C66FF867C}">
                  <a14:compatExt spid="_x0000_s143379"/>
                </a:ext>
                <a:ext uri="{FF2B5EF4-FFF2-40B4-BE49-F238E27FC236}">
                  <a16:creationId xmlns:a16="http://schemas.microsoft.com/office/drawing/2014/main" id="{00000000-0008-0000-0900-000013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25</xdr:row>
          <xdr:rowOff>47625</xdr:rowOff>
        </xdr:from>
        <xdr:to>
          <xdr:col>14</xdr:col>
          <xdr:colOff>219075</xdr:colOff>
          <xdr:row>25</xdr:row>
          <xdr:rowOff>257175</xdr:rowOff>
        </xdr:to>
        <xdr:sp macro="" textlink="">
          <xdr:nvSpPr>
            <xdr:cNvPr id="143380" name="Check Box 20" hidden="1">
              <a:extLst>
                <a:ext uri="{63B3BB69-23CF-44E3-9099-C40C66FF867C}">
                  <a14:compatExt spid="_x0000_s143380"/>
                </a:ext>
                <a:ext uri="{FF2B5EF4-FFF2-40B4-BE49-F238E27FC236}">
                  <a16:creationId xmlns:a16="http://schemas.microsoft.com/office/drawing/2014/main" id="{00000000-0008-0000-0900-000014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xdr:row>
          <xdr:rowOff>47625</xdr:rowOff>
        </xdr:from>
        <xdr:to>
          <xdr:col>14</xdr:col>
          <xdr:colOff>219075</xdr:colOff>
          <xdr:row>26</xdr:row>
          <xdr:rowOff>257175</xdr:rowOff>
        </xdr:to>
        <xdr:sp macro="" textlink="">
          <xdr:nvSpPr>
            <xdr:cNvPr id="143381" name="Check Box 21" hidden="1">
              <a:extLst>
                <a:ext uri="{63B3BB69-23CF-44E3-9099-C40C66FF867C}">
                  <a14:compatExt spid="_x0000_s143381"/>
                </a:ext>
                <a:ext uri="{FF2B5EF4-FFF2-40B4-BE49-F238E27FC236}">
                  <a16:creationId xmlns:a16="http://schemas.microsoft.com/office/drawing/2014/main" id="{00000000-0008-0000-0900-000015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47625</xdr:rowOff>
        </xdr:from>
        <xdr:to>
          <xdr:col>14</xdr:col>
          <xdr:colOff>219075</xdr:colOff>
          <xdr:row>27</xdr:row>
          <xdr:rowOff>257175</xdr:rowOff>
        </xdr:to>
        <xdr:sp macro="" textlink="">
          <xdr:nvSpPr>
            <xdr:cNvPr id="143382" name="Check Box 22" hidden="1">
              <a:extLst>
                <a:ext uri="{63B3BB69-23CF-44E3-9099-C40C66FF867C}">
                  <a14:compatExt spid="_x0000_s143382"/>
                </a:ext>
                <a:ext uri="{FF2B5EF4-FFF2-40B4-BE49-F238E27FC236}">
                  <a16:creationId xmlns:a16="http://schemas.microsoft.com/office/drawing/2014/main" id="{00000000-0008-0000-0900-000016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47625</xdr:rowOff>
        </xdr:from>
        <xdr:to>
          <xdr:col>14</xdr:col>
          <xdr:colOff>219075</xdr:colOff>
          <xdr:row>28</xdr:row>
          <xdr:rowOff>257175</xdr:rowOff>
        </xdr:to>
        <xdr:sp macro="" textlink="">
          <xdr:nvSpPr>
            <xdr:cNvPr id="143383" name="Check Box 23" hidden="1">
              <a:extLst>
                <a:ext uri="{63B3BB69-23CF-44E3-9099-C40C66FF867C}">
                  <a14:compatExt spid="_x0000_s143383"/>
                </a:ext>
                <a:ext uri="{FF2B5EF4-FFF2-40B4-BE49-F238E27FC236}">
                  <a16:creationId xmlns:a16="http://schemas.microsoft.com/office/drawing/2014/main" id="{00000000-0008-0000-0900-000017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47625</xdr:rowOff>
        </xdr:from>
        <xdr:to>
          <xdr:col>14</xdr:col>
          <xdr:colOff>219075</xdr:colOff>
          <xdr:row>29</xdr:row>
          <xdr:rowOff>257175</xdr:rowOff>
        </xdr:to>
        <xdr:sp macro="" textlink="">
          <xdr:nvSpPr>
            <xdr:cNvPr id="143384" name="Check Box 24" hidden="1">
              <a:extLst>
                <a:ext uri="{63B3BB69-23CF-44E3-9099-C40C66FF867C}">
                  <a14:compatExt spid="_x0000_s143384"/>
                </a:ext>
                <a:ext uri="{FF2B5EF4-FFF2-40B4-BE49-F238E27FC236}">
                  <a16:creationId xmlns:a16="http://schemas.microsoft.com/office/drawing/2014/main" id="{00000000-0008-0000-0900-000018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30</xdr:row>
          <xdr:rowOff>47625</xdr:rowOff>
        </xdr:from>
        <xdr:to>
          <xdr:col>14</xdr:col>
          <xdr:colOff>219075</xdr:colOff>
          <xdr:row>30</xdr:row>
          <xdr:rowOff>257175</xdr:rowOff>
        </xdr:to>
        <xdr:sp macro="" textlink="">
          <xdr:nvSpPr>
            <xdr:cNvPr id="143385" name="Check Box 25" hidden="1">
              <a:extLst>
                <a:ext uri="{63B3BB69-23CF-44E3-9099-C40C66FF867C}">
                  <a14:compatExt spid="_x0000_s143385"/>
                </a:ext>
                <a:ext uri="{FF2B5EF4-FFF2-40B4-BE49-F238E27FC236}">
                  <a16:creationId xmlns:a16="http://schemas.microsoft.com/office/drawing/2014/main" id="{00000000-0008-0000-0900-000019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47625</xdr:rowOff>
        </xdr:from>
        <xdr:to>
          <xdr:col>14</xdr:col>
          <xdr:colOff>219075</xdr:colOff>
          <xdr:row>31</xdr:row>
          <xdr:rowOff>257175</xdr:rowOff>
        </xdr:to>
        <xdr:sp macro="" textlink="">
          <xdr:nvSpPr>
            <xdr:cNvPr id="143386" name="Check Box 26" hidden="1">
              <a:extLst>
                <a:ext uri="{63B3BB69-23CF-44E3-9099-C40C66FF867C}">
                  <a14:compatExt spid="_x0000_s143386"/>
                </a:ext>
                <a:ext uri="{FF2B5EF4-FFF2-40B4-BE49-F238E27FC236}">
                  <a16:creationId xmlns:a16="http://schemas.microsoft.com/office/drawing/2014/main" id="{00000000-0008-0000-0900-00001A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47625</xdr:rowOff>
        </xdr:from>
        <xdr:to>
          <xdr:col>14</xdr:col>
          <xdr:colOff>219075</xdr:colOff>
          <xdr:row>32</xdr:row>
          <xdr:rowOff>257175</xdr:rowOff>
        </xdr:to>
        <xdr:sp macro="" textlink="">
          <xdr:nvSpPr>
            <xdr:cNvPr id="143387" name="Check Box 27" hidden="1">
              <a:extLst>
                <a:ext uri="{63B3BB69-23CF-44E3-9099-C40C66FF867C}">
                  <a14:compatExt spid="_x0000_s143387"/>
                </a:ext>
                <a:ext uri="{FF2B5EF4-FFF2-40B4-BE49-F238E27FC236}">
                  <a16:creationId xmlns:a16="http://schemas.microsoft.com/office/drawing/2014/main" id="{00000000-0008-0000-0900-00001B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47625</xdr:rowOff>
        </xdr:from>
        <xdr:to>
          <xdr:col>14</xdr:col>
          <xdr:colOff>219075</xdr:colOff>
          <xdr:row>33</xdr:row>
          <xdr:rowOff>257175</xdr:rowOff>
        </xdr:to>
        <xdr:sp macro="" textlink="">
          <xdr:nvSpPr>
            <xdr:cNvPr id="143388" name="Check Box 28" hidden="1">
              <a:extLst>
                <a:ext uri="{63B3BB69-23CF-44E3-9099-C40C66FF867C}">
                  <a14:compatExt spid="_x0000_s143388"/>
                </a:ext>
                <a:ext uri="{FF2B5EF4-FFF2-40B4-BE49-F238E27FC236}">
                  <a16:creationId xmlns:a16="http://schemas.microsoft.com/office/drawing/2014/main" id="{00000000-0008-0000-0900-00001C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47625</xdr:rowOff>
        </xdr:from>
        <xdr:to>
          <xdr:col>14</xdr:col>
          <xdr:colOff>219075</xdr:colOff>
          <xdr:row>34</xdr:row>
          <xdr:rowOff>257175</xdr:rowOff>
        </xdr:to>
        <xdr:sp macro="" textlink="">
          <xdr:nvSpPr>
            <xdr:cNvPr id="143389" name="Check Box 29" hidden="1">
              <a:extLst>
                <a:ext uri="{63B3BB69-23CF-44E3-9099-C40C66FF867C}">
                  <a14:compatExt spid="_x0000_s143389"/>
                </a:ext>
                <a:ext uri="{FF2B5EF4-FFF2-40B4-BE49-F238E27FC236}">
                  <a16:creationId xmlns:a16="http://schemas.microsoft.com/office/drawing/2014/main" id="{00000000-0008-0000-0900-00001D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47625</xdr:rowOff>
        </xdr:from>
        <xdr:to>
          <xdr:col>14</xdr:col>
          <xdr:colOff>219075</xdr:colOff>
          <xdr:row>35</xdr:row>
          <xdr:rowOff>257175</xdr:rowOff>
        </xdr:to>
        <xdr:sp macro="" textlink="">
          <xdr:nvSpPr>
            <xdr:cNvPr id="143390" name="Check Box 30" hidden="1">
              <a:extLst>
                <a:ext uri="{63B3BB69-23CF-44E3-9099-C40C66FF867C}">
                  <a14:compatExt spid="_x0000_s143390"/>
                </a:ext>
                <a:ext uri="{FF2B5EF4-FFF2-40B4-BE49-F238E27FC236}">
                  <a16:creationId xmlns:a16="http://schemas.microsoft.com/office/drawing/2014/main" id="{00000000-0008-0000-0900-00001E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9525</xdr:colOff>
      <xdr:row>3</xdr:row>
      <xdr:rowOff>9525</xdr:rowOff>
    </xdr:from>
    <xdr:to>
      <xdr:col>59</xdr:col>
      <xdr:colOff>381000</xdr:colOff>
      <xdr:row>10</xdr:row>
      <xdr:rowOff>304800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9039225" y="762000"/>
          <a:ext cx="7915275" cy="2409825"/>
          <a:chOff x="9344025" y="704850"/>
          <a:chExt cx="7915275" cy="2409825"/>
        </a:xfrm>
      </xdr:grpSpPr>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9344025" y="714375"/>
            <a:ext cx="2600089" cy="2400300"/>
          </a:xfrm>
          <a:prstGeom prst="rect">
            <a:avLst/>
          </a:prstGeom>
          <a:ln w="12700">
            <a:solidFill>
              <a:schemeClr val="tx1"/>
            </a:solidFill>
          </a:ln>
        </xdr:spPr>
      </xdr:pic>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1953875" y="704850"/>
            <a:ext cx="5305425" cy="2409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1</a:t>
            </a:r>
            <a:r>
              <a:rPr kumimoji="1" lang="ja-JP" altLang="en-US" sz="1100"/>
              <a:t>）方位の選択</a:t>
            </a:r>
            <a:endParaRPr kumimoji="1" lang="en-US" altLang="ja-JP" sz="1100"/>
          </a:p>
          <a:p>
            <a:r>
              <a:rPr kumimoji="1" lang="ja-JP" altLang="en-US" sz="1100"/>
              <a:t>熱橋が面する方位を選択する。（屋根、床等は水平を選択）</a:t>
            </a:r>
            <a:endParaRPr kumimoji="1" lang="en-US" altLang="ja-JP" sz="1100"/>
          </a:p>
          <a:p>
            <a:endParaRPr kumimoji="1" lang="en-US" altLang="ja-JP" sz="1100"/>
          </a:p>
          <a:p>
            <a:r>
              <a:rPr kumimoji="1" lang="en-US" altLang="ja-JP" sz="1100"/>
              <a:t>2</a:t>
            </a:r>
            <a:r>
              <a:rPr kumimoji="1" lang="ja-JP" altLang="en-US" sz="1100"/>
              <a:t>）部位の選択</a:t>
            </a:r>
            <a:endParaRPr kumimoji="1" lang="en-US" altLang="ja-JP" sz="1100"/>
          </a:p>
          <a:p>
            <a:r>
              <a:rPr kumimoji="1" lang="ja-JP" altLang="en-US" sz="1100"/>
              <a:t>熱橋部位を選択する。</a:t>
            </a:r>
            <a:endParaRPr kumimoji="1" lang="en-US" altLang="ja-JP" sz="1100"/>
          </a:p>
          <a:p>
            <a:endParaRPr kumimoji="1" lang="en-US" altLang="ja-JP" sz="1100"/>
          </a:p>
          <a:p>
            <a:r>
              <a:rPr kumimoji="1" lang="en-US" altLang="ja-JP" sz="1100"/>
              <a:t>3</a:t>
            </a:r>
            <a:r>
              <a:rPr kumimoji="1" lang="ja-JP" altLang="en-US" sz="1100"/>
              <a:t>）熱橋長さ、線熱貫流率（</a:t>
            </a:r>
            <a:r>
              <a:rPr kumimoji="1" lang="en-US" altLang="ja-JP" sz="1100"/>
              <a:t>ψ</a:t>
            </a:r>
            <a:r>
              <a:rPr kumimoji="1" lang="ja-JP" altLang="en-US" sz="1100"/>
              <a:t>）、温度差係数の入力</a:t>
            </a:r>
            <a:endParaRPr kumimoji="1" lang="en-US" altLang="ja-JP" sz="1100"/>
          </a:p>
          <a:p>
            <a:r>
              <a:rPr kumimoji="1" lang="ja-JP" altLang="en-US" sz="1100"/>
              <a:t>各数値を入力する。</a:t>
            </a:r>
            <a:endParaRPr kumimoji="1" lang="en-US" altLang="ja-JP" sz="1100"/>
          </a:p>
          <a:p>
            <a:endParaRPr kumimoji="1" lang="en-US" altLang="ja-JP" sz="1100"/>
          </a:p>
          <a:p>
            <a:r>
              <a:rPr kumimoji="1" lang="en-US" altLang="ja-JP" sz="1100"/>
              <a:t>4</a:t>
            </a:r>
            <a:r>
              <a:rPr kumimoji="1" lang="ja-JP" altLang="en-US" sz="1100"/>
              <a:t>）日射熱取得の加算の有無</a:t>
            </a:r>
            <a:endParaRPr kumimoji="1" lang="en-US" altLang="ja-JP" sz="1100"/>
          </a:p>
          <a:p>
            <a:r>
              <a:rPr kumimoji="1" lang="ja-JP" altLang="en-US" sz="1100"/>
              <a:t>日射が全く当たらない部位はチェックをはずす。（中廊下等日射が当たらない熱橋部等）</a:t>
            </a: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2</xdr:row>
          <xdr:rowOff>47625</xdr:rowOff>
        </xdr:from>
        <xdr:to>
          <xdr:col>13</xdr:col>
          <xdr:colOff>219075</xdr:colOff>
          <xdr:row>2</xdr:row>
          <xdr:rowOff>285750</xdr:rowOff>
        </xdr:to>
        <xdr:sp macro="" textlink="">
          <xdr:nvSpPr>
            <xdr:cNvPr id="158744" name="Option Button 24" hidden="1">
              <a:extLst>
                <a:ext uri="{63B3BB69-23CF-44E3-9099-C40C66FF867C}">
                  <a14:compatExt spid="_x0000_s158744"/>
                </a:ext>
                <a:ext uri="{FF2B5EF4-FFF2-40B4-BE49-F238E27FC236}">
                  <a16:creationId xmlns:a16="http://schemas.microsoft.com/office/drawing/2014/main" id="{00000000-0008-0000-0B00-00001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57150</xdr:rowOff>
        </xdr:from>
        <xdr:to>
          <xdr:col>18</xdr:col>
          <xdr:colOff>219075</xdr:colOff>
          <xdr:row>2</xdr:row>
          <xdr:rowOff>295275</xdr:rowOff>
        </xdr:to>
        <xdr:sp macro="" textlink="">
          <xdr:nvSpPr>
            <xdr:cNvPr id="158745" name="Option Button 25" hidden="1">
              <a:extLst>
                <a:ext uri="{63B3BB69-23CF-44E3-9099-C40C66FF867C}">
                  <a14:compatExt spid="_x0000_s158745"/>
                </a:ext>
                <a:ext uri="{FF2B5EF4-FFF2-40B4-BE49-F238E27FC236}">
                  <a16:creationId xmlns:a16="http://schemas.microsoft.com/office/drawing/2014/main" id="{00000000-0008-0000-0B00-00001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108857</xdr:colOff>
      <xdr:row>1</xdr:row>
      <xdr:rowOff>220914</xdr:rowOff>
    </xdr:from>
    <xdr:to>
      <xdr:col>64</xdr:col>
      <xdr:colOff>95249</xdr:colOff>
      <xdr:row>7</xdr:row>
      <xdr:rowOff>163285</xdr:rowOff>
    </xdr:to>
    <xdr:sp macro="" textlink="">
      <xdr:nvSpPr>
        <xdr:cNvPr id="55" name="テキスト ボックス 54">
          <a:extLst>
            <a:ext uri="{FF2B5EF4-FFF2-40B4-BE49-F238E27FC236}">
              <a16:creationId xmlns:a16="http://schemas.microsoft.com/office/drawing/2014/main" id="{00000000-0008-0000-0B00-000037000000}"/>
            </a:ext>
          </a:extLst>
        </xdr:cNvPr>
        <xdr:cNvSpPr txBox="1"/>
      </xdr:nvSpPr>
      <xdr:spPr bwMode="auto">
        <a:xfrm>
          <a:off x="8538482" y="268539"/>
          <a:ext cx="9882867" cy="165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b="1">
              <a:solidFill>
                <a:sysClr val="windowText" lastClr="000000"/>
              </a:solidFill>
              <a:effectLst/>
              <a:latin typeface="+mn-lt"/>
              <a:ea typeface="+mn-ea"/>
              <a:cs typeface="+mn-cs"/>
            </a:rPr>
            <a:t>【</a:t>
          </a:r>
          <a:r>
            <a:rPr kumimoji="1" lang="ja-JP" altLang="ja-JP" sz="1200" b="1">
              <a:solidFill>
                <a:schemeClr val="dk1"/>
              </a:solidFill>
              <a:effectLst/>
              <a:latin typeface="+mn-lt"/>
              <a:ea typeface="+mn-ea"/>
              <a:cs typeface="+mn-cs"/>
            </a:rPr>
            <a:t>計算方法について</a:t>
          </a:r>
          <a:r>
            <a:rPr kumimoji="1" lang="en-US" altLang="ja-JP" sz="1100" b="1">
              <a:solidFill>
                <a:sysClr val="windowText" lastClr="000000"/>
              </a:solidFill>
              <a:effectLst/>
              <a:latin typeface="+mn-lt"/>
              <a:ea typeface="+mn-ea"/>
              <a:cs typeface="+mn-cs"/>
            </a:rPr>
            <a:t>】</a:t>
          </a:r>
        </a:p>
        <a:p>
          <a:r>
            <a:rPr kumimoji="1" lang="ja-JP" altLang="ja-JP" sz="1100" b="1">
              <a:solidFill>
                <a:srgbClr val="FF0000"/>
              </a:solidFill>
              <a:effectLst/>
              <a:latin typeface="+mn-lt"/>
              <a:ea typeface="+mn-ea"/>
              <a:cs typeface="+mn-cs"/>
            </a:rPr>
            <a:t>新計算法</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2021</a:t>
          </a:r>
          <a:r>
            <a:rPr kumimoji="1" lang="ja-JP" altLang="ja-JP"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月以降新たに整備された計算方法となり、土間床等の外周部の熱損失と基礎の熱損失を別々に評価する方法。</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（詳細：技術情報：第３章第</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節　</a:t>
          </a:r>
          <a:r>
            <a:rPr kumimoji="1" lang="en-US" altLang="ja-JP" sz="1100">
              <a:solidFill>
                <a:sysClr val="windowText" lastClr="000000"/>
              </a:solidFill>
              <a:effectLst/>
              <a:latin typeface="+mn-lt"/>
              <a:ea typeface="+mn-ea"/>
              <a:cs typeface="+mn-cs"/>
            </a:rPr>
            <a:t>6.2.1</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旧計算法</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a:t>
          </a:r>
          <a:r>
            <a:rPr kumimoji="1" lang="ja-JP" altLang="en-US" sz="1100">
              <a:solidFill>
                <a:sysClr val="windowText" lastClr="000000"/>
              </a:solidFill>
              <a:effectLst/>
              <a:latin typeface="+mn-lt"/>
              <a:ea typeface="+mn-ea"/>
              <a:cs typeface="+mn-cs"/>
            </a:rPr>
            <a:t>系</a:t>
          </a:r>
          <a:r>
            <a:rPr kumimoji="1" lang="ja-JP" altLang="ja-JP" sz="1100">
              <a:solidFill>
                <a:sysClr val="windowText" lastClr="000000"/>
              </a:solidFill>
              <a:effectLst/>
              <a:latin typeface="+mn-lt"/>
              <a:ea typeface="+mn-ea"/>
              <a:cs typeface="+mn-cs"/>
            </a:rPr>
            <a:t>において主に使用されていた計算方法</a:t>
          </a:r>
          <a:r>
            <a:rPr kumimoji="1" lang="ja-JP" altLang="en-US" sz="1100">
              <a:solidFill>
                <a:sysClr val="windowText" lastClr="000000"/>
              </a:solidFill>
              <a:effectLst/>
              <a:latin typeface="+mn-lt"/>
              <a:ea typeface="+mn-ea"/>
              <a:cs typeface="+mn-cs"/>
            </a:rPr>
            <a:t>となり、土間床等の熱損失と基礎の熱損失（ただし立ち上がり高さ</a:t>
          </a:r>
          <a:r>
            <a:rPr kumimoji="1" lang="en-US" altLang="ja-JP" sz="1100">
              <a:solidFill>
                <a:sysClr val="windowText" lastClr="000000"/>
              </a:solidFill>
              <a:effectLst/>
              <a:latin typeface="+mn-lt"/>
              <a:ea typeface="+mn-ea"/>
              <a:cs typeface="+mn-cs"/>
            </a:rPr>
            <a:t>400mm</a:t>
          </a:r>
          <a:r>
            <a:rPr kumimoji="1" lang="ja-JP" altLang="en-US" sz="1100">
              <a:solidFill>
                <a:sysClr val="windowText" lastClr="000000"/>
              </a:solidFill>
              <a:effectLst/>
              <a:latin typeface="+mn-lt"/>
              <a:ea typeface="+mn-ea"/>
              <a:cs typeface="+mn-cs"/>
            </a:rPr>
            <a:t>まで）を併せて評価する方法。</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（詳細：技術情報 第３章 第３節 付録</a:t>
          </a:r>
          <a:r>
            <a:rPr kumimoji="1" lang="en-US" altLang="ja-JP" sz="1100">
              <a:solidFill>
                <a:sysClr val="windowText" lastClr="000000"/>
              </a:solidFill>
              <a:effectLst/>
              <a:latin typeface="+mn-lt"/>
              <a:ea typeface="+mn-ea"/>
              <a:cs typeface="+mn-cs"/>
            </a:rPr>
            <a:t>D</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a:solidFill>
                <a:sysClr val="windowText" lastClr="000000"/>
              </a:solidFill>
              <a:effectLst/>
              <a:latin typeface="+mn-lt"/>
              <a:ea typeface="+mn-ea"/>
              <a:cs typeface="+mn-cs"/>
            </a:rPr>
            <a:t>2026</a:t>
          </a:r>
          <a:r>
            <a:rPr kumimoji="1" lang="ja-JP" altLang="ja-JP" sz="1100" b="1">
              <a:solidFill>
                <a:sysClr val="windowText" lastClr="000000"/>
              </a:solidFill>
              <a:effectLst/>
              <a:latin typeface="+mn-lt"/>
              <a:ea typeface="+mn-ea"/>
              <a:cs typeface="+mn-cs"/>
            </a:rPr>
            <a:t>年</a:t>
          </a:r>
          <a:r>
            <a:rPr kumimoji="1" lang="en-US" altLang="ja-JP" sz="1100" b="1">
              <a:solidFill>
                <a:sysClr val="windowText" lastClr="000000"/>
              </a:solidFill>
              <a:effectLst/>
              <a:latin typeface="+mn-lt"/>
              <a:ea typeface="+mn-ea"/>
              <a:cs typeface="+mn-cs"/>
            </a:rPr>
            <a:t>10</a:t>
          </a:r>
          <a:r>
            <a:rPr kumimoji="1" lang="ja-JP" altLang="ja-JP" sz="1100" b="1">
              <a:solidFill>
                <a:sysClr val="windowText" lastClr="000000"/>
              </a:solidFill>
              <a:effectLst/>
              <a:latin typeface="+mn-lt"/>
              <a:ea typeface="+mn-ea"/>
              <a:cs typeface="+mn-cs"/>
            </a:rPr>
            <a:t>月</a:t>
          </a:r>
          <a:r>
            <a:rPr kumimoji="1" lang="en-US" altLang="ja-JP" sz="1100" b="1">
              <a:solidFill>
                <a:sysClr val="windowText" lastClr="000000"/>
              </a:solidFill>
              <a:effectLst/>
              <a:latin typeface="+mn-lt"/>
              <a:ea typeface="+mn-ea"/>
              <a:cs typeface="+mn-cs"/>
            </a:rPr>
            <a:t>31</a:t>
          </a:r>
          <a:r>
            <a:rPr kumimoji="1" lang="ja-JP" altLang="ja-JP" sz="1100" b="1">
              <a:solidFill>
                <a:sysClr val="windowText" lastClr="000000"/>
              </a:solidFill>
              <a:effectLst/>
              <a:latin typeface="+mn-lt"/>
              <a:ea typeface="+mn-ea"/>
              <a:cs typeface="+mn-cs"/>
            </a:rPr>
            <a:t>日をもって廃止。</a:t>
          </a:r>
          <a:endParaRPr lang="ja-JP" altLang="ja-JP">
            <a:solidFill>
              <a:sysClr val="windowText" lastClr="000000"/>
            </a:solidFill>
            <a:effectLst/>
          </a:endParaRPr>
        </a:p>
        <a:p>
          <a:endParaRPr kumimoji="1" lang="en-US" altLang="ja-JP" sz="1100">
            <a:solidFill>
              <a:sysClr val="windowText" lastClr="000000"/>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136072</xdr:colOff>
      <xdr:row>16</xdr:row>
      <xdr:rowOff>1601</xdr:rowOff>
    </xdr:from>
    <xdr:to>
      <xdr:col>16</xdr:col>
      <xdr:colOff>125425</xdr:colOff>
      <xdr:row>30</xdr:row>
      <xdr:rowOff>5122</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072" y="5888051"/>
          <a:ext cx="5018553" cy="240382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xdr:row>
      <xdr:rowOff>111124</xdr:rowOff>
    </xdr:from>
    <xdr:to>
      <xdr:col>27</xdr:col>
      <xdr:colOff>140918</xdr:colOff>
      <xdr:row>56</xdr:row>
      <xdr:rowOff>127000</xdr:rowOff>
    </xdr:to>
    <xdr:pic>
      <xdr:nvPicPr>
        <xdr:cNvPr id="2" name="図 1">
          <a:extLst>
            <a:ext uri="{FF2B5EF4-FFF2-40B4-BE49-F238E27FC236}">
              <a16:creationId xmlns:a16="http://schemas.microsoft.com/office/drawing/2014/main" id="{41ECD9BD-1C4A-AD48-1FE4-3654A34D2917}"/>
            </a:ext>
          </a:extLst>
        </xdr:cNvPr>
        <xdr:cNvPicPr>
          <a:picLocks noChangeAspect="1"/>
        </xdr:cNvPicPr>
      </xdr:nvPicPr>
      <xdr:blipFill>
        <a:blip xmlns:r="http://schemas.openxmlformats.org/officeDocument/2006/relationships" r:embed="rId1"/>
        <a:stretch>
          <a:fillRect/>
        </a:stretch>
      </xdr:blipFill>
      <xdr:spPr>
        <a:xfrm>
          <a:off x="47625" y="285749"/>
          <a:ext cx="7379918" cy="96202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18</xdr:row>
      <xdr:rowOff>128867</xdr:rowOff>
    </xdr:from>
    <xdr:to>
      <xdr:col>11</xdr:col>
      <xdr:colOff>369234</xdr:colOff>
      <xdr:row>46</xdr:row>
      <xdr:rowOff>79562</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66675" y="3662642"/>
          <a:ext cx="7227234" cy="4751295"/>
          <a:chOff x="4333875" y="868455"/>
          <a:chExt cx="7229475" cy="4751295"/>
        </a:xfrm>
      </xdr:grpSpPr>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4333875" y="868455"/>
            <a:ext cx="7000875" cy="4751295"/>
            <a:chOff x="0" y="96930"/>
            <a:chExt cx="9072635" cy="6231172"/>
          </a:xfrm>
        </xdr:grpSpPr>
        <xdr:sp macro="" textlink="">
          <xdr:nvSpPr>
            <xdr:cNvPr id="7" name="平行四辺形 6">
              <a:extLst>
                <a:ext uri="{FF2B5EF4-FFF2-40B4-BE49-F238E27FC236}">
                  <a16:creationId xmlns:a16="http://schemas.microsoft.com/office/drawing/2014/main" id="{00000000-0008-0000-0E00-000007000000}"/>
                </a:ext>
              </a:extLst>
            </xdr:cNvPr>
            <xdr:cNvSpPr/>
          </xdr:nvSpPr>
          <xdr:spPr bwMode="auto">
            <a:xfrm rot="1269467" flipV="1">
              <a:off x="2423668" y="2951254"/>
              <a:ext cx="4085527" cy="654745"/>
            </a:xfrm>
            <a:prstGeom prst="parallelogram">
              <a:avLst>
                <a:gd name="adj" fmla="val 38078"/>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8" name="平行四辺形 7">
              <a:extLst>
                <a:ext uri="{FF2B5EF4-FFF2-40B4-BE49-F238E27FC236}">
                  <a16:creationId xmlns:a16="http://schemas.microsoft.com/office/drawing/2014/main" id="{00000000-0008-0000-0E00-000008000000}"/>
                </a:ext>
              </a:extLst>
            </xdr:cNvPr>
            <xdr:cNvSpPr/>
          </xdr:nvSpPr>
          <xdr:spPr bwMode="auto">
            <a:xfrm rot="1269467" flipV="1">
              <a:off x="3108922" y="2392025"/>
              <a:ext cx="4063739" cy="641404"/>
            </a:xfrm>
            <a:prstGeom prst="parallelogram">
              <a:avLst>
                <a:gd name="adj" fmla="val 38078"/>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9" name="平行四辺形 8">
              <a:extLst>
                <a:ext uri="{FF2B5EF4-FFF2-40B4-BE49-F238E27FC236}">
                  <a16:creationId xmlns:a16="http://schemas.microsoft.com/office/drawing/2014/main" id="{00000000-0008-0000-0E00-000009000000}"/>
                </a:ext>
              </a:extLst>
            </xdr:cNvPr>
            <xdr:cNvSpPr/>
          </xdr:nvSpPr>
          <xdr:spPr bwMode="auto">
            <a:xfrm rot="16200000" flipV="1">
              <a:off x="3896284" y="1408141"/>
              <a:ext cx="4846777" cy="4993146"/>
            </a:xfrm>
            <a:prstGeom prst="parallelogram">
              <a:avLst>
                <a:gd name="adj" fmla="val 85559"/>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7651530" y="2312607"/>
              <a:ext cx="367393" cy="650069"/>
              <a:chOff x="8413530" y="2471245"/>
              <a:chExt cx="367393" cy="658584"/>
            </a:xfrm>
          </xdr:grpSpPr>
          <xdr:sp macro="" textlink="">
            <xdr:nvSpPr>
              <xdr:cNvPr id="37" name="平行四辺形 36">
                <a:extLst>
                  <a:ext uri="{FF2B5EF4-FFF2-40B4-BE49-F238E27FC236}">
                    <a16:creationId xmlns:a16="http://schemas.microsoft.com/office/drawing/2014/main" id="{00000000-0008-0000-0E00-000025000000}"/>
                  </a:ext>
                </a:extLst>
              </xdr:cNvPr>
              <xdr:cNvSpPr/>
            </xdr:nvSpPr>
            <xdr:spPr bwMode="auto">
              <a:xfrm rot="16200000" flipV="1">
                <a:off x="8267935" y="2616840"/>
                <a:ext cx="658584" cy="367393"/>
              </a:xfrm>
              <a:prstGeom prst="parallelogram">
                <a:avLst>
                  <a:gd name="adj" fmla="val 83974"/>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38" name="直線コネクタ 37">
                <a:extLst>
                  <a:ext uri="{FF2B5EF4-FFF2-40B4-BE49-F238E27FC236}">
                    <a16:creationId xmlns:a16="http://schemas.microsoft.com/office/drawing/2014/main" id="{00000000-0008-0000-0E00-000026000000}"/>
                  </a:ext>
                </a:extLst>
              </xdr:cNvPr>
              <xdr:cNvCxnSpPr>
                <a:stCxn id="37" idx="2"/>
                <a:endCxn id="37" idx="5"/>
              </xdr:cNvCxnSpPr>
            </xdr:nvCxnSpPr>
            <xdr:spPr bwMode="auto">
              <a:xfrm>
                <a:off x="8597227" y="2625502"/>
                <a:ext cx="0" cy="35007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11" name="グループ化 10">
              <a:extLst>
                <a:ext uri="{FF2B5EF4-FFF2-40B4-BE49-F238E27FC236}">
                  <a16:creationId xmlns:a16="http://schemas.microsoft.com/office/drawing/2014/main" id="{00000000-0008-0000-0E00-00000B000000}"/>
                </a:ext>
              </a:extLst>
            </xdr:cNvPr>
            <xdr:cNvGrpSpPr/>
          </xdr:nvGrpSpPr>
          <xdr:grpSpPr>
            <a:xfrm>
              <a:off x="4842643" y="4641009"/>
              <a:ext cx="372951" cy="650727"/>
              <a:chOff x="8413530" y="2471245"/>
              <a:chExt cx="367393" cy="658584"/>
            </a:xfrm>
          </xdr:grpSpPr>
          <xdr:sp macro="" textlink="">
            <xdr:nvSpPr>
              <xdr:cNvPr id="35" name="平行四辺形 34">
                <a:extLst>
                  <a:ext uri="{FF2B5EF4-FFF2-40B4-BE49-F238E27FC236}">
                    <a16:creationId xmlns:a16="http://schemas.microsoft.com/office/drawing/2014/main" id="{00000000-0008-0000-0E00-000023000000}"/>
                  </a:ext>
                </a:extLst>
              </xdr:cNvPr>
              <xdr:cNvSpPr/>
            </xdr:nvSpPr>
            <xdr:spPr bwMode="auto">
              <a:xfrm rot="16200000" flipV="1">
                <a:off x="8267935" y="2616840"/>
                <a:ext cx="658584" cy="367393"/>
              </a:xfrm>
              <a:prstGeom prst="parallelogram">
                <a:avLst>
                  <a:gd name="adj" fmla="val 83974"/>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36" name="直線コネクタ 35">
                <a:extLst>
                  <a:ext uri="{FF2B5EF4-FFF2-40B4-BE49-F238E27FC236}">
                    <a16:creationId xmlns:a16="http://schemas.microsoft.com/office/drawing/2014/main" id="{00000000-0008-0000-0E00-000024000000}"/>
                  </a:ext>
                </a:extLst>
              </xdr:cNvPr>
              <xdr:cNvCxnSpPr>
                <a:stCxn id="35" idx="2"/>
                <a:endCxn id="35" idx="5"/>
              </xdr:cNvCxnSpPr>
            </xdr:nvCxnSpPr>
            <xdr:spPr bwMode="auto">
              <a:xfrm>
                <a:off x="8597227" y="2625502"/>
                <a:ext cx="0" cy="35007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12" name="グループ化 11">
              <a:extLst>
                <a:ext uri="{FF2B5EF4-FFF2-40B4-BE49-F238E27FC236}">
                  <a16:creationId xmlns:a16="http://schemas.microsoft.com/office/drawing/2014/main" id="{00000000-0008-0000-0E00-00000C000000}"/>
                </a:ext>
              </a:extLst>
            </xdr:cNvPr>
            <xdr:cNvGrpSpPr/>
          </xdr:nvGrpSpPr>
          <xdr:grpSpPr>
            <a:xfrm>
              <a:off x="5000260" y="824948"/>
              <a:ext cx="4072375" cy="652643"/>
              <a:chOff x="5762260" y="944684"/>
              <a:chExt cx="4072375" cy="652995"/>
            </a:xfrm>
          </xdr:grpSpPr>
          <xdr:sp macro="" textlink="">
            <xdr:nvSpPr>
              <xdr:cNvPr id="31" name="平行四辺形 30">
                <a:extLst>
                  <a:ext uri="{FF2B5EF4-FFF2-40B4-BE49-F238E27FC236}">
                    <a16:creationId xmlns:a16="http://schemas.microsoft.com/office/drawing/2014/main" id="{00000000-0008-0000-0E00-00001F000000}"/>
                  </a:ext>
                </a:extLst>
              </xdr:cNvPr>
              <xdr:cNvSpPr/>
            </xdr:nvSpPr>
            <xdr:spPr bwMode="auto">
              <a:xfrm rot="1269467" flipV="1">
                <a:off x="5762260" y="944684"/>
                <a:ext cx="4072375" cy="652995"/>
              </a:xfrm>
              <a:prstGeom prst="parallelogram">
                <a:avLst>
                  <a:gd name="adj" fmla="val 38078"/>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nvGrpSpPr>
              <xdr:cNvPr id="32" name="グループ化 31">
                <a:extLst>
                  <a:ext uri="{FF2B5EF4-FFF2-40B4-BE49-F238E27FC236}">
                    <a16:creationId xmlns:a16="http://schemas.microsoft.com/office/drawing/2014/main" id="{00000000-0008-0000-0E00-000020000000}"/>
                  </a:ext>
                </a:extLst>
              </xdr:cNvPr>
              <xdr:cNvGrpSpPr/>
            </xdr:nvGrpSpPr>
            <xdr:grpSpPr>
              <a:xfrm>
                <a:off x="7344103" y="1035269"/>
                <a:ext cx="572697" cy="324891"/>
                <a:chOff x="6141703" y="3281613"/>
                <a:chExt cx="570965" cy="329011"/>
              </a:xfrm>
            </xdr:grpSpPr>
            <xdr:sp macro="" textlink="">
              <xdr:nvSpPr>
                <xdr:cNvPr id="33" name="平行四辺形 32">
                  <a:extLst>
                    <a:ext uri="{FF2B5EF4-FFF2-40B4-BE49-F238E27FC236}">
                      <a16:creationId xmlns:a16="http://schemas.microsoft.com/office/drawing/2014/main" id="{00000000-0008-0000-0E00-000021000000}"/>
                    </a:ext>
                  </a:extLst>
                </xdr:cNvPr>
                <xdr:cNvSpPr/>
              </xdr:nvSpPr>
              <xdr:spPr bwMode="auto">
                <a:xfrm rot="1269467" flipV="1">
                  <a:off x="6141703" y="3292379"/>
                  <a:ext cx="570965" cy="307479"/>
                </a:xfrm>
                <a:prstGeom prst="parallelogram">
                  <a:avLst>
                    <a:gd name="adj" fmla="val 3807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xnSp macro="">
              <xdr:nvCxnSpPr>
                <xdr:cNvPr id="34" name="直線コネクタ 33">
                  <a:extLst>
                    <a:ext uri="{FF2B5EF4-FFF2-40B4-BE49-F238E27FC236}">
                      <a16:creationId xmlns:a16="http://schemas.microsoft.com/office/drawing/2014/main" id="{00000000-0008-0000-0E00-000022000000}"/>
                    </a:ext>
                  </a:extLst>
                </xdr:cNvPr>
                <xdr:cNvCxnSpPr>
                  <a:stCxn id="33" idx="3"/>
                  <a:endCxn id="33" idx="1"/>
                </xdr:cNvCxnSpPr>
              </xdr:nvCxnSpPr>
              <xdr:spPr bwMode="auto">
                <a:xfrm flipH="1">
                  <a:off x="6426289" y="3281613"/>
                  <a:ext cx="1793" cy="3290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grpSp>
          <xdr:nvGrpSpPr>
            <xdr:cNvPr id="13" name="グループ化 12">
              <a:extLst>
                <a:ext uri="{FF2B5EF4-FFF2-40B4-BE49-F238E27FC236}">
                  <a16:creationId xmlns:a16="http://schemas.microsoft.com/office/drawing/2014/main" id="{00000000-0008-0000-0E00-00000D000000}"/>
                </a:ext>
              </a:extLst>
            </xdr:cNvPr>
            <xdr:cNvGrpSpPr/>
          </xdr:nvGrpSpPr>
          <xdr:grpSpPr>
            <a:xfrm>
              <a:off x="0" y="4964382"/>
              <a:ext cx="4072375" cy="652643"/>
              <a:chOff x="5762260" y="944684"/>
              <a:chExt cx="4072375" cy="652995"/>
            </a:xfrm>
          </xdr:grpSpPr>
          <xdr:sp macro="" textlink="">
            <xdr:nvSpPr>
              <xdr:cNvPr id="27" name="平行四辺形 26">
                <a:extLst>
                  <a:ext uri="{FF2B5EF4-FFF2-40B4-BE49-F238E27FC236}">
                    <a16:creationId xmlns:a16="http://schemas.microsoft.com/office/drawing/2014/main" id="{00000000-0008-0000-0E00-00001B000000}"/>
                  </a:ext>
                </a:extLst>
              </xdr:cNvPr>
              <xdr:cNvSpPr/>
            </xdr:nvSpPr>
            <xdr:spPr bwMode="auto">
              <a:xfrm rot="1269467" flipV="1">
                <a:off x="5762260" y="944684"/>
                <a:ext cx="4072375" cy="652995"/>
              </a:xfrm>
              <a:prstGeom prst="parallelogram">
                <a:avLst>
                  <a:gd name="adj" fmla="val 38078"/>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nvGrpSpPr>
              <xdr:cNvPr id="28" name="グループ化 27">
                <a:extLst>
                  <a:ext uri="{FF2B5EF4-FFF2-40B4-BE49-F238E27FC236}">
                    <a16:creationId xmlns:a16="http://schemas.microsoft.com/office/drawing/2014/main" id="{00000000-0008-0000-0E00-00001C000000}"/>
                  </a:ext>
                </a:extLst>
              </xdr:cNvPr>
              <xdr:cNvGrpSpPr/>
            </xdr:nvGrpSpPr>
            <xdr:grpSpPr>
              <a:xfrm>
                <a:off x="7344103" y="1035269"/>
                <a:ext cx="572697" cy="324891"/>
                <a:chOff x="6141703" y="3281613"/>
                <a:chExt cx="570965" cy="329011"/>
              </a:xfrm>
            </xdr:grpSpPr>
            <xdr:sp macro="" textlink="">
              <xdr:nvSpPr>
                <xdr:cNvPr id="29" name="平行四辺形 28">
                  <a:extLst>
                    <a:ext uri="{FF2B5EF4-FFF2-40B4-BE49-F238E27FC236}">
                      <a16:creationId xmlns:a16="http://schemas.microsoft.com/office/drawing/2014/main" id="{00000000-0008-0000-0E00-00001D000000}"/>
                    </a:ext>
                  </a:extLst>
                </xdr:cNvPr>
                <xdr:cNvSpPr/>
              </xdr:nvSpPr>
              <xdr:spPr bwMode="auto">
                <a:xfrm rot="1269467" flipV="1">
                  <a:off x="6141703" y="3292379"/>
                  <a:ext cx="570965" cy="307479"/>
                </a:xfrm>
                <a:prstGeom prst="parallelogram">
                  <a:avLst>
                    <a:gd name="adj" fmla="val 3807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xnSp macro="">
              <xdr:nvCxnSpPr>
                <xdr:cNvPr id="30" name="直線コネクタ 29">
                  <a:extLst>
                    <a:ext uri="{FF2B5EF4-FFF2-40B4-BE49-F238E27FC236}">
                      <a16:creationId xmlns:a16="http://schemas.microsoft.com/office/drawing/2014/main" id="{00000000-0008-0000-0E00-00001E000000}"/>
                    </a:ext>
                  </a:extLst>
                </xdr:cNvPr>
                <xdr:cNvCxnSpPr>
                  <a:stCxn id="29" idx="3"/>
                  <a:endCxn id="29" idx="1"/>
                </xdr:cNvCxnSpPr>
              </xdr:nvCxnSpPr>
              <xdr:spPr bwMode="auto">
                <a:xfrm flipH="1">
                  <a:off x="6426289" y="3281613"/>
                  <a:ext cx="1793" cy="3290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sp macro="" textlink="">
          <xdr:nvSpPr>
            <xdr:cNvPr id="14" name="平行四辺形 13">
              <a:extLst>
                <a:ext uri="{FF2B5EF4-FFF2-40B4-BE49-F238E27FC236}">
                  <a16:creationId xmlns:a16="http://schemas.microsoft.com/office/drawing/2014/main" id="{00000000-0008-0000-0E00-00000E000000}"/>
                </a:ext>
              </a:extLst>
            </xdr:cNvPr>
            <xdr:cNvSpPr/>
          </xdr:nvSpPr>
          <xdr:spPr bwMode="auto">
            <a:xfrm rot="16200000" flipV="1">
              <a:off x="321955" y="23746"/>
              <a:ext cx="4846777" cy="4993146"/>
            </a:xfrm>
            <a:prstGeom prst="parallelogram">
              <a:avLst>
                <a:gd name="adj" fmla="val 85559"/>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nvGrpSpPr>
            <xdr:cNvPr id="15" name="グループ化 14">
              <a:extLst>
                <a:ext uri="{FF2B5EF4-FFF2-40B4-BE49-F238E27FC236}">
                  <a16:creationId xmlns:a16="http://schemas.microsoft.com/office/drawing/2014/main" id="{00000000-0008-0000-0E00-00000F000000}"/>
                </a:ext>
              </a:extLst>
            </xdr:cNvPr>
            <xdr:cNvGrpSpPr/>
          </xdr:nvGrpSpPr>
          <xdr:grpSpPr>
            <a:xfrm>
              <a:off x="4163329" y="2260147"/>
              <a:ext cx="572696" cy="324369"/>
              <a:chOff x="6141703" y="3281613"/>
              <a:chExt cx="570965" cy="329011"/>
            </a:xfrm>
            <a:solidFill>
              <a:srgbClr val="00B0F0">
                <a:alpha val="50000"/>
              </a:srgbClr>
            </a:solidFill>
          </xdr:grpSpPr>
          <xdr:sp macro="" textlink="">
            <xdr:nvSpPr>
              <xdr:cNvPr id="25" name="平行四辺形 24">
                <a:extLst>
                  <a:ext uri="{FF2B5EF4-FFF2-40B4-BE49-F238E27FC236}">
                    <a16:creationId xmlns:a16="http://schemas.microsoft.com/office/drawing/2014/main" id="{00000000-0008-0000-0E00-000019000000}"/>
                  </a:ext>
                </a:extLst>
              </xdr:cNvPr>
              <xdr:cNvSpPr/>
            </xdr:nvSpPr>
            <xdr:spPr bwMode="auto">
              <a:xfrm rot="1269467" flipV="1">
                <a:off x="6141703" y="3292379"/>
                <a:ext cx="570965" cy="307479"/>
              </a:xfrm>
              <a:prstGeom prst="parallelogram">
                <a:avLst>
                  <a:gd name="adj" fmla="val 38078"/>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26" name="直線コネクタ 25">
                <a:extLst>
                  <a:ext uri="{FF2B5EF4-FFF2-40B4-BE49-F238E27FC236}">
                    <a16:creationId xmlns:a16="http://schemas.microsoft.com/office/drawing/2014/main" id="{00000000-0008-0000-0E00-00001A000000}"/>
                  </a:ext>
                </a:extLst>
              </xdr:cNvPr>
              <xdr:cNvCxnSpPr>
                <a:stCxn id="25" idx="3"/>
                <a:endCxn id="25" idx="1"/>
              </xdr:cNvCxnSpPr>
            </xdr:nvCxnSpPr>
            <xdr:spPr bwMode="auto">
              <a:xfrm flipH="1">
                <a:off x="6426289" y="3281613"/>
                <a:ext cx="1793" cy="329011"/>
              </a:xfrm>
              <a:prstGeom prst="line">
                <a:avLst/>
              </a:prstGeom>
              <a:grpFill/>
              <a:ln w="9525" cap="flat" cmpd="sng" algn="ctr">
                <a:solidFill>
                  <a:srgbClr val="000000"/>
                </a:solidFill>
                <a:prstDash val="solid"/>
                <a:round/>
                <a:headEnd type="none" w="med" len="med"/>
                <a:tailEnd type="none" w="med" len="med"/>
              </a:ln>
              <a:effectLst/>
            </xdr:spPr>
          </xdr:cxnSp>
        </xdr:grpSp>
        <xdr:grpSp>
          <xdr:nvGrpSpPr>
            <xdr:cNvPr id="16" name="グループ化 15">
              <a:extLst>
                <a:ext uri="{FF2B5EF4-FFF2-40B4-BE49-F238E27FC236}">
                  <a16:creationId xmlns:a16="http://schemas.microsoft.com/office/drawing/2014/main" id="{00000000-0008-0000-0E00-000010000000}"/>
                </a:ext>
              </a:extLst>
            </xdr:cNvPr>
            <xdr:cNvGrpSpPr/>
          </xdr:nvGrpSpPr>
          <xdr:grpSpPr>
            <a:xfrm>
              <a:off x="3761327" y="2922894"/>
              <a:ext cx="572697" cy="325373"/>
              <a:chOff x="6141703" y="3281613"/>
              <a:chExt cx="570965" cy="329011"/>
            </a:xfrm>
            <a:solidFill>
              <a:srgbClr val="00B0F0">
                <a:alpha val="50000"/>
              </a:srgbClr>
            </a:solidFill>
          </xdr:grpSpPr>
          <xdr:sp macro="" textlink="">
            <xdr:nvSpPr>
              <xdr:cNvPr id="23" name="平行四辺形 22">
                <a:extLst>
                  <a:ext uri="{FF2B5EF4-FFF2-40B4-BE49-F238E27FC236}">
                    <a16:creationId xmlns:a16="http://schemas.microsoft.com/office/drawing/2014/main" id="{00000000-0008-0000-0E00-000017000000}"/>
                  </a:ext>
                </a:extLst>
              </xdr:cNvPr>
              <xdr:cNvSpPr/>
            </xdr:nvSpPr>
            <xdr:spPr bwMode="auto">
              <a:xfrm rot="1269467" flipV="1">
                <a:off x="6141703" y="3292379"/>
                <a:ext cx="570965" cy="307479"/>
              </a:xfrm>
              <a:prstGeom prst="parallelogram">
                <a:avLst>
                  <a:gd name="adj" fmla="val 38078"/>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xnSp macro="">
            <xdr:nvCxnSpPr>
              <xdr:cNvPr id="24" name="直線コネクタ 23">
                <a:extLst>
                  <a:ext uri="{FF2B5EF4-FFF2-40B4-BE49-F238E27FC236}">
                    <a16:creationId xmlns:a16="http://schemas.microsoft.com/office/drawing/2014/main" id="{00000000-0008-0000-0E00-000018000000}"/>
                  </a:ext>
                </a:extLst>
              </xdr:cNvPr>
              <xdr:cNvCxnSpPr>
                <a:stCxn id="23" idx="3"/>
                <a:endCxn id="23" idx="1"/>
              </xdr:cNvCxnSpPr>
            </xdr:nvCxnSpPr>
            <xdr:spPr bwMode="auto">
              <a:xfrm flipH="1">
                <a:off x="6426289" y="3281613"/>
                <a:ext cx="1793" cy="329011"/>
              </a:xfrm>
              <a:prstGeom prst="line">
                <a:avLst/>
              </a:prstGeom>
              <a:grpFill/>
              <a:ln w="9525" cap="flat" cmpd="sng" algn="ctr">
                <a:solidFill>
                  <a:srgbClr val="000000"/>
                </a:solidFill>
                <a:prstDash val="solid"/>
                <a:round/>
                <a:headEnd type="none" w="med" len="med"/>
                <a:tailEnd type="none" w="med" len="med"/>
              </a:ln>
              <a:effectLst/>
            </xdr:spPr>
          </xdr:cxnSp>
        </xdr:grpSp>
        <xdr:grpSp>
          <xdr:nvGrpSpPr>
            <xdr:cNvPr id="17" name="グループ化 16">
              <a:extLst>
                <a:ext uri="{FF2B5EF4-FFF2-40B4-BE49-F238E27FC236}">
                  <a16:creationId xmlns:a16="http://schemas.microsoft.com/office/drawing/2014/main" id="{00000000-0008-0000-0E00-000011000000}"/>
                </a:ext>
              </a:extLst>
            </xdr:cNvPr>
            <xdr:cNvGrpSpPr/>
          </xdr:nvGrpSpPr>
          <xdr:grpSpPr>
            <a:xfrm>
              <a:off x="5277397" y="2626115"/>
              <a:ext cx="513366" cy="531450"/>
              <a:chOff x="6100776" y="2830193"/>
              <a:chExt cx="515023" cy="539191"/>
            </a:xfrm>
            <a:solidFill>
              <a:srgbClr val="FFC000">
                <a:alpha val="50000"/>
              </a:srgbClr>
            </a:solidFill>
          </xdr:grpSpPr>
          <xdr:sp macro="" textlink="">
            <xdr:nvSpPr>
              <xdr:cNvPr id="21" name="平行四辺形 20">
                <a:extLst>
                  <a:ext uri="{FF2B5EF4-FFF2-40B4-BE49-F238E27FC236}">
                    <a16:creationId xmlns:a16="http://schemas.microsoft.com/office/drawing/2014/main" id="{00000000-0008-0000-0E00-000015000000}"/>
                  </a:ext>
                </a:extLst>
              </xdr:cNvPr>
              <xdr:cNvSpPr/>
            </xdr:nvSpPr>
            <xdr:spPr bwMode="auto">
              <a:xfrm rot="1269467" flipV="1">
                <a:off x="6100776" y="2830193"/>
                <a:ext cx="515023" cy="539191"/>
              </a:xfrm>
              <a:prstGeom prst="parallelogram">
                <a:avLst>
                  <a:gd name="adj" fmla="val 38078"/>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22" name="円/楕円 21">
                <a:extLst>
                  <a:ext uri="{FF2B5EF4-FFF2-40B4-BE49-F238E27FC236}">
                    <a16:creationId xmlns:a16="http://schemas.microsoft.com/office/drawing/2014/main" id="{00000000-0008-0000-0E00-000016000000}"/>
                  </a:ext>
                </a:extLst>
              </xdr:cNvPr>
              <xdr:cNvSpPr/>
            </xdr:nvSpPr>
            <xdr:spPr bwMode="auto">
              <a:xfrm>
                <a:off x="6251462" y="3053767"/>
                <a:ext cx="45719" cy="91381"/>
              </a:xfrm>
              <a:prstGeom prst="ellipse">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grpSp>
          <xdr:nvGrpSpPr>
            <xdr:cNvPr id="18" name="グループ化 17">
              <a:extLst>
                <a:ext uri="{FF2B5EF4-FFF2-40B4-BE49-F238E27FC236}">
                  <a16:creationId xmlns:a16="http://schemas.microsoft.com/office/drawing/2014/main" id="{00000000-0008-0000-0E00-000012000000}"/>
                </a:ext>
              </a:extLst>
            </xdr:cNvPr>
            <xdr:cNvGrpSpPr/>
          </xdr:nvGrpSpPr>
          <xdr:grpSpPr>
            <a:xfrm>
              <a:off x="4654235" y="3215624"/>
              <a:ext cx="513366" cy="531451"/>
              <a:chOff x="5455905" y="3601410"/>
              <a:chExt cx="515022" cy="539192"/>
            </a:xfrm>
            <a:solidFill>
              <a:srgbClr val="FFC000">
                <a:alpha val="50000"/>
              </a:srgbClr>
            </a:solidFill>
          </xdr:grpSpPr>
          <xdr:sp macro="" textlink="">
            <xdr:nvSpPr>
              <xdr:cNvPr id="19" name="平行四辺形 18">
                <a:extLst>
                  <a:ext uri="{FF2B5EF4-FFF2-40B4-BE49-F238E27FC236}">
                    <a16:creationId xmlns:a16="http://schemas.microsoft.com/office/drawing/2014/main" id="{00000000-0008-0000-0E00-000013000000}"/>
                  </a:ext>
                </a:extLst>
              </xdr:cNvPr>
              <xdr:cNvSpPr/>
            </xdr:nvSpPr>
            <xdr:spPr bwMode="auto">
              <a:xfrm rot="1269467" flipV="1">
                <a:off x="5455905" y="3601410"/>
                <a:ext cx="515022" cy="539192"/>
              </a:xfrm>
              <a:prstGeom prst="parallelogram">
                <a:avLst>
                  <a:gd name="adj" fmla="val 38078"/>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20" name="円/楕円 19">
                <a:extLst>
                  <a:ext uri="{FF2B5EF4-FFF2-40B4-BE49-F238E27FC236}">
                    <a16:creationId xmlns:a16="http://schemas.microsoft.com/office/drawing/2014/main" id="{00000000-0008-0000-0E00-000014000000}"/>
                  </a:ext>
                </a:extLst>
              </xdr:cNvPr>
              <xdr:cNvSpPr/>
            </xdr:nvSpPr>
            <xdr:spPr bwMode="auto">
              <a:xfrm>
                <a:off x="5606123" y="3821982"/>
                <a:ext cx="46136" cy="89764"/>
              </a:xfrm>
              <a:prstGeom prst="ellipse">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grpSp>
      <xdr:sp macro="" textlink="">
        <xdr:nvSpPr>
          <xdr:cNvPr id="4" name="線吹き出し 1 (枠付き) 3">
            <a:extLst>
              <a:ext uri="{FF2B5EF4-FFF2-40B4-BE49-F238E27FC236}">
                <a16:creationId xmlns:a16="http://schemas.microsoft.com/office/drawing/2014/main" id="{00000000-0008-0000-0E00-000004000000}"/>
              </a:ext>
            </a:extLst>
          </xdr:cNvPr>
          <xdr:cNvSpPr/>
        </xdr:nvSpPr>
        <xdr:spPr bwMode="auto">
          <a:xfrm flipV="1">
            <a:off x="10458449" y="4714872"/>
            <a:ext cx="1104901" cy="333377"/>
          </a:xfrm>
          <a:prstGeom prst="borderCallout1">
            <a:avLst>
              <a:gd name="adj1" fmla="val 55893"/>
              <a:gd name="adj2" fmla="val -5747"/>
              <a:gd name="adj3" fmla="val 409643"/>
              <a:gd name="adj4" fmla="val -10212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000"/>
              <a:t>　</a:t>
            </a:r>
            <a:r>
              <a:rPr kumimoji="1" lang="ja-JP" altLang="en-US" sz="2000">
                <a:latin typeface="HG丸ｺﾞｼｯｸM-PRO" panose="020F0600000000000000" pitchFamily="50" charset="-128"/>
                <a:ea typeface="HG丸ｺﾞｼｯｸM-PRO" panose="020F0600000000000000" pitchFamily="50" charset="-128"/>
              </a:rPr>
              <a:t>中廊下</a:t>
            </a:r>
          </a:p>
        </xdr:txBody>
      </xdr:sp>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8610600" y="1971675"/>
            <a:ext cx="101917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　</a:t>
            </a:r>
            <a:r>
              <a:rPr kumimoji="1" lang="ja-JP" altLang="en-US" sz="2000">
                <a:latin typeface="HG丸ｺﾞｼｯｸM-PRO" panose="020F0600000000000000" pitchFamily="50" charset="-128"/>
                <a:ea typeface="HG丸ｺﾞｼｯｸM-PRO" panose="020F0600000000000000" pitchFamily="50" charset="-128"/>
              </a:rPr>
              <a:t>住戸</a:t>
            </a:r>
          </a:p>
        </xdr:txBody>
      </xdr:sp>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6296025" y="3762375"/>
            <a:ext cx="101917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　</a:t>
            </a:r>
            <a:r>
              <a:rPr kumimoji="1" lang="ja-JP" altLang="en-US" sz="2000">
                <a:latin typeface="HG丸ｺﾞｼｯｸM-PRO" panose="020F0600000000000000" pitchFamily="50" charset="-128"/>
                <a:ea typeface="HG丸ｺﾞｼｯｸM-PRO" panose="020F0600000000000000" pitchFamily="50" charset="-128"/>
              </a:rPr>
              <a:t>住戸</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266700</xdr:colOff>
      <xdr:row>23</xdr:row>
      <xdr:rowOff>103318</xdr:rowOff>
    </xdr:from>
    <xdr:to>
      <xdr:col>17</xdr:col>
      <xdr:colOff>437664</xdr:colOff>
      <xdr:row>24</xdr:row>
      <xdr:rowOff>93990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0934700" y="3922843"/>
          <a:ext cx="170964" cy="162122"/>
        </a:xfrm>
        <a:prstGeom prst="rect">
          <a:avLst/>
        </a:prstGeom>
        <a:solidFill>
          <a:srgbClr val="00B0F0"/>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266700</xdr:colOff>
      <xdr:row>25</xdr:row>
      <xdr:rowOff>108716</xdr:rowOff>
    </xdr:from>
    <xdr:to>
      <xdr:col>17</xdr:col>
      <xdr:colOff>437665</xdr:colOff>
      <xdr:row>26</xdr:row>
      <xdr:rowOff>96775</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0934700" y="4271141"/>
          <a:ext cx="170965" cy="159509"/>
        </a:xfrm>
        <a:prstGeom prst="rect">
          <a:avLst/>
        </a:prstGeom>
        <a:solidFill>
          <a:srgbClr val="00B050"/>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266700</xdr:colOff>
      <xdr:row>27</xdr:row>
      <xdr:rowOff>106166</xdr:rowOff>
    </xdr:from>
    <xdr:to>
      <xdr:col>17</xdr:col>
      <xdr:colOff>437664</xdr:colOff>
      <xdr:row>28</xdr:row>
      <xdr:rowOff>90546</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0934700" y="4611491"/>
          <a:ext cx="170964" cy="165355"/>
        </a:xfrm>
        <a:prstGeom prst="rect">
          <a:avLst/>
        </a:prstGeom>
        <a:solidFill>
          <a:srgbClr val="F779E8"/>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266700</xdr:colOff>
      <xdr:row>29</xdr:row>
      <xdr:rowOff>106165</xdr:rowOff>
    </xdr:from>
    <xdr:to>
      <xdr:col>17</xdr:col>
      <xdr:colOff>437664</xdr:colOff>
      <xdr:row>30</xdr:row>
      <xdr:rowOff>90546</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0934700" y="4963915"/>
          <a:ext cx="170964" cy="165356"/>
        </a:xfrm>
        <a:prstGeom prst="rect">
          <a:avLst/>
        </a:prstGeom>
        <a:solidFill>
          <a:srgbClr val="FF0000"/>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266700</xdr:colOff>
      <xdr:row>34</xdr:row>
      <xdr:rowOff>1569</xdr:rowOff>
    </xdr:from>
    <xdr:to>
      <xdr:col>17</xdr:col>
      <xdr:colOff>437664</xdr:colOff>
      <xdr:row>34</xdr:row>
      <xdr:rowOff>171450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0934700" y="5745144"/>
          <a:ext cx="170964" cy="169881"/>
        </a:xfrm>
        <a:prstGeom prst="rect">
          <a:avLst/>
        </a:prstGeom>
        <a:solidFill>
          <a:schemeClr val="tx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266700</xdr:colOff>
      <xdr:row>31</xdr:row>
      <xdr:rowOff>95250</xdr:rowOff>
    </xdr:from>
    <xdr:to>
      <xdr:col>17</xdr:col>
      <xdr:colOff>437664</xdr:colOff>
      <xdr:row>32</xdr:row>
      <xdr:rowOff>84915</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0934700" y="5305425"/>
          <a:ext cx="170964" cy="170640"/>
        </a:xfrm>
        <a:prstGeom prst="rect">
          <a:avLst/>
        </a:prstGeom>
        <a:solidFill>
          <a:srgbClr val="7030A0"/>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17</xdr:col>
      <xdr:colOff>201757</xdr:colOff>
      <xdr:row>37</xdr:row>
      <xdr:rowOff>144606</xdr:rowOff>
    </xdr:from>
    <xdr:to>
      <xdr:col>19</xdr:col>
      <xdr:colOff>428625</xdr:colOff>
      <xdr:row>50</xdr:row>
      <xdr:rowOff>42862</xdr:rowOff>
    </xdr:to>
    <xdr:pic>
      <xdr:nvPicPr>
        <xdr:cNvPr id="8" name="図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69757" y="6412056"/>
          <a:ext cx="2131868" cy="2127106"/>
        </a:xfrm>
        <a:prstGeom prst="rect">
          <a:avLst/>
        </a:prstGeom>
      </xdr:spPr>
    </xdr:pic>
    <xdr:clientData/>
  </xdr:twoCellAnchor>
  <xdr:twoCellAnchor>
    <xdr:from>
      <xdr:col>17</xdr:col>
      <xdr:colOff>266700</xdr:colOff>
      <xdr:row>21</xdr:row>
      <xdr:rowOff>103318</xdr:rowOff>
    </xdr:from>
    <xdr:to>
      <xdr:col>17</xdr:col>
      <xdr:colOff>437664</xdr:colOff>
      <xdr:row>22</xdr:row>
      <xdr:rowOff>93990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10934700" y="3579943"/>
          <a:ext cx="170964" cy="162122"/>
        </a:xfrm>
        <a:prstGeom prst="rect">
          <a:avLst/>
        </a:prstGeom>
        <a:solidFill>
          <a:srgbClr val="FFC000"/>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247649</xdr:colOff>
      <xdr:row>49</xdr:row>
      <xdr:rowOff>76200</xdr:rowOff>
    </xdr:from>
    <xdr:to>
      <xdr:col>10</xdr:col>
      <xdr:colOff>597476</xdr:colOff>
      <xdr:row>50</xdr:row>
      <xdr:rowOff>147124</xdr:rowOff>
    </xdr:to>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247649" y="8401050"/>
          <a:ext cx="652202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b="1">
              <a:solidFill>
                <a:srgbClr val="FF0000"/>
              </a:solidFill>
            </a:rPr>
            <a:t>＊空調室は熱損失の按分を行うことを示す為に矢印を表記しているが、住戸ではないので熱損失の評価は行わない。</a:t>
          </a:r>
        </a:p>
      </xdr:txBody>
    </xdr:sp>
    <xdr:clientData/>
  </xdr:twoCellAnchor>
  <xdr:twoCellAnchor editAs="oneCell">
    <xdr:from>
      <xdr:col>17</xdr:col>
      <xdr:colOff>428389</xdr:colOff>
      <xdr:row>3</xdr:row>
      <xdr:rowOff>72890</xdr:rowOff>
    </xdr:from>
    <xdr:to>
      <xdr:col>19</xdr:col>
      <xdr:colOff>276224</xdr:colOff>
      <xdr:row>14</xdr:row>
      <xdr:rowOff>59747</xdr:rowOff>
    </xdr:to>
    <xdr:pic>
      <xdr:nvPicPr>
        <xdr:cNvPr id="11" name="図 10">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96389" y="463415"/>
          <a:ext cx="1752835" cy="1872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17</xdr:col>
      <xdr:colOff>495301</xdr:colOff>
      <xdr:row>14</xdr:row>
      <xdr:rowOff>55418</xdr:rowOff>
    </xdr:from>
    <xdr:ext cx="1829283" cy="259045"/>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11163301" y="2331893"/>
          <a:ext cx="18292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t>Step2</a:t>
          </a:r>
          <a:r>
            <a:rPr kumimoji="1" lang="ja-JP" altLang="en-US" sz="1000"/>
            <a:t>：温度差係数の設定の例</a:t>
          </a:r>
        </a:p>
      </xdr:txBody>
    </xdr:sp>
    <xdr:clientData/>
  </xdr:oneCellAnchor>
  <xdr:twoCellAnchor editAs="oneCell">
    <xdr:from>
      <xdr:col>1</xdr:col>
      <xdr:colOff>414619</xdr:colOff>
      <xdr:row>19</xdr:row>
      <xdr:rowOff>123266</xdr:rowOff>
    </xdr:from>
    <xdr:to>
      <xdr:col>13</xdr:col>
      <xdr:colOff>459442</xdr:colOff>
      <xdr:row>47</xdr:row>
      <xdr:rowOff>78442</xdr:rowOff>
    </xdr:to>
    <xdr:pic>
      <xdr:nvPicPr>
        <xdr:cNvPr id="13" name="図 12" descr="Z:\技術部\001【性能評価】部会・Ｑ＆Ａ関係\■部会\■省エネ評価部会\2017\第１回\砂川研究所と打合せ\修正案2_熱橋Ｈ28（部会用）20170522.pn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4619" y="3256991"/>
          <a:ext cx="7998198" cy="48034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62672</xdr:colOff>
      <xdr:row>16</xdr:row>
      <xdr:rowOff>94852</xdr:rowOff>
    </xdr:from>
    <xdr:to>
      <xdr:col>9</xdr:col>
      <xdr:colOff>36819</xdr:colOff>
      <xdr:row>28</xdr:row>
      <xdr:rowOff>41624</xdr:rowOff>
    </xdr:to>
    <xdr:grpSp>
      <xdr:nvGrpSpPr>
        <xdr:cNvPr id="6" name="グループ化 5">
          <a:extLst>
            <a:ext uri="{FF2B5EF4-FFF2-40B4-BE49-F238E27FC236}">
              <a16:creationId xmlns:a16="http://schemas.microsoft.com/office/drawing/2014/main" id="{00000000-0008-0000-0100-000006000000}"/>
            </a:ext>
          </a:extLst>
        </xdr:cNvPr>
        <xdr:cNvGrpSpPr>
          <a:grpSpLocks/>
        </xdr:cNvGrpSpPr>
      </xdr:nvGrpSpPr>
      <xdr:grpSpPr bwMode="auto">
        <a:xfrm>
          <a:off x="424622" y="4438252"/>
          <a:ext cx="2041072" cy="3261472"/>
          <a:chOff x="82439" y="4201839"/>
          <a:chExt cx="2097800" cy="2940926"/>
        </a:xfrm>
        <a:noFill/>
      </xdr:grpSpPr>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133350</xdr:colOff>
          <xdr:row>7</xdr:row>
          <xdr:rowOff>247650</xdr:rowOff>
        </xdr:to>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0100-000001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133350</xdr:colOff>
          <xdr:row>9</xdr:row>
          <xdr:rowOff>0</xdr:rowOff>
        </xdr:to>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100-000002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152400</xdr:colOff>
          <xdr:row>11</xdr:row>
          <xdr:rowOff>247650</xdr:rowOff>
        </xdr:to>
        <xdr:sp macro="" textlink="">
          <xdr:nvSpPr>
            <xdr:cNvPr id="118787" name="Check Box 3" hidden="1">
              <a:extLst>
                <a:ext uri="{63B3BB69-23CF-44E3-9099-C40C66FF867C}">
                  <a14:compatExt spid="_x0000_s118787"/>
                </a:ext>
                <a:ext uri="{FF2B5EF4-FFF2-40B4-BE49-F238E27FC236}">
                  <a16:creationId xmlns:a16="http://schemas.microsoft.com/office/drawing/2014/main" id="{00000000-0008-0000-0100-000003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123825</xdr:colOff>
          <xdr:row>12</xdr:row>
          <xdr:rowOff>247650</xdr:rowOff>
        </xdr:to>
        <xdr:sp macro="" textlink="">
          <xdr:nvSpPr>
            <xdr:cNvPr id="118788" name="Check Box 4" hidden="1">
              <a:extLst>
                <a:ext uri="{63B3BB69-23CF-44E3-9099-C40C66FF867C}">
                  <a14:compatExt spid="_x0000_s118788"/>
                </a:ext>
                <a:ext uri="{FF2B5EF4-FFF2-40B4-BE49-F238E27FC236}">
                  <a16:creationId xmlns:a16="http://schemas.microsoft.com/office/drawing/2014/main" id="{00000000-0008-0000-0100-000004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152400</xdr:colOff>
          <xdr:row>14</xdr:row>
          <xdr:rowOff>9525</xdr:rowOff>
        </xdr:to>
        <xdr:sp macro="" textlink="">
          <xdr:nvSpPr>
            <xdr:cNvPr id="118789" name="Check Box 5" hidden="1">
              <a:extLst>
                <a:ext uri="{63B3BB69-23CF-44E3-9099-C40C66FF867C}">
                  <a14:compatExt spid="_x0000_s118789"/>
                </a:ext>
                <a:ext uri="{FF2B5EF4-FFF2-40B4-BE49-F238E27FC236}">
                  <a16:creationId xmlns:a16="http://schemas.microsoft.com/office/drawing/2014/main" id="{00000000-0008-0000-0100-000005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133350</xdr:colOff>
          <xdr:row>29</xdr:row>
          <xdr:rowOff>28575</xdr:rowOff>
        </xdr:to>
        <xdr:sp macro="" textlink="">
          <xdr:nvSpPr>
            <xdr:cNvPr id="118790" name="Check Box 6" hidden="1">
              <a:extLst>
                <a:ext uri="{63B3BB69-23CF-44E3-9099-C40C66FF867C}">
                  <a14:compatExt spid="_x0000_s118790"/>
                </a:ext>
                <a:ext uri="{FF2B5EF4-FFF2-40B4-BE49-F238E27FC236}">
                  <a16:creationId xmlns:a16="http://schemas.microsoft.com/office/drawing/2014/main" id="{00000000-0008-0000-0100-000006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152400</xdr:colOff>
          <xdr:row>30</xdr:row>
          <xdr:rowOff>0</xdr:rowOff>
        </xdr:to>
        <xdr:sp macro="" textlink="">
          <xdr:nvSpPr>
            <xdr:cNvPr id="118791" name="Check Box 7" hidden="1">
              <a:extLst>
                <a:ext uri="{63B3BB69-23CF-44E3-9099-C40C66FF867C}">
                  <a14:compatExt spid="_x0000_s118791"/>
                </a:ext>
                <a:ext uri="{FF2B5EF4-FFF2-40B4-BE49-F238E27FC236}">
                  <a16:creationId xmlns:a16="http://schemas.microsoft.com/office/drawing/2014/main" id="{00000000-0008-0000-0100-000007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104775</xdr:colOff>
          <xdr:row>32</xdr:row>
          <xdr:rowOff>257175</xdr:rowOff>
        </xdr:to>
        <xdr:sp macro="" textlink="">
          <xdr:nvSpPr>
            <xdr:cNvPr id="118792" name="Check Box 8" hidden="1">
              <a:extLst>
                <a:ext uri="{63B3BB69-23CF-44E3-9099-C40C66FF867C}">
                  <a14:compatExt spid="_x0000_s118792"/>
                </a:ext>
                <a:ext uri="{FF2B5EF4-FFF2-40B4-BE49-F238E27FC236}">
                  <a16:creationId xmlns:a16="http://schemas.microsoft.com/office/drawing/2014/main" id="{00000000-0008-0000-0100-000008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180975</xdr:colOff>
          <xdr:row>10</xdr:row>
          <xdr:rowOff>0</xdr:rowOff>
        </xdr:to>
        <xdr:sp macro="" textlink="">
          <xdr:nvSpPr>
            <xdr:cNvPr id="118793" name="Check Box 9" hidden="1">
              <a:extLst>
                <a:ext uri="{63B3BB69-23CF-44E3-9099-C40C66FF867C}">
                  <a14:compatExt spid="_x0000_s118793"/>
                </a:ext>
                <a:ext uri="{FF2B5EF4-FFF2-40B4-BE49-F238E27FC236}">
                  <a16:creationId xmlns:a16="http://schemas.microsoft.com/office/drawing/2014/main" id="{00000000-0008-0000-0100-000009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152400</xdr:colOff>
          <xdr:row>10</xdr:row>
          <xdr:rowOff>247650</xdr:rowOff>
        </xdr:to>
        <xdr:sp macro="" textlink="">
          <xdr:nvSpPr>
            <xdr:cNvPr id="118794" name="Check Box 10" hidden="1">
              <a:extLst>
                <a:ext uri="{63B3BB69-23CF-44E3-9099-C40C66FF867C}">
                  <a14:compatExt spid="_x0000_s118794"/>
                </a:ext>
                <a:ext uri="{FF2B5EF4-FFF2-40B4-BE49-F238E27FC236}">
                  <a16:creationId xmlns:a16="http://schemas.microsoft.com/office/drawing/2014/main" id="{00000000-0008-0000-0100-00000A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133350</xdr:colOff>
          <xdr:row>30</xdr:row>
          <xdr:rowOff>257175</xdr:rowOff>
        </xdr:to>
        <xdr:sp macro="" textlink="">
          <xdr:nvSpPr>
            <xdr:cNvPr id="118795" name="Check Box 11" hidden="1">
              <a:extLst>
                <a:ext uri="{63B3BB69-23CF-44E3-9099-C40C66FF867C}">
                  <a14:compatExt spid="_x0000_s118795"/>
                </a:ext>
                <a:ext uri="{FF2B5EF4-FFF2-40B4-BE49-F238E27FC236}">
                  <a16:creationId xmlns:a16="http://schemas.microsoft.com/office/drawing/2014/main" id="{00000000-0008-0000-0100-00000B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123825</xdr:colOff>
          <xdr:row>31</xdr:row>
          <xdr:rowOff>247650</xdr:rowOff>
        </xdr:to>
        <xdr:sp macro="" textlink="">
          <xdr:nvSpPr>
            <xdr:cNvPr id="118796" name="Check Box 12" hidden="1">
              <a:extLst>
                <a:ext uri="{63B3BB69-23CF-44E3-9099-C40C66FF867C}">
                  <a14:compatExt spid="_x0000_s118796"/>
                </a:ext>
                <a:ext uri="{FF2B5EF4-FFF2-40B4-BE49-F238E27FC236}">
                  <a16:creationId xmlns:a16="http://schemas.microsoft.com/office/drawing/2014/main" id="{00000000-0008-0000-0100-00000C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104775</xdr:colOff>
          <xdr:row>20</xdr:row>
          <xdr:rowOff>257175</xdr:rowOff>
        </xdr:to>
        <xdr:sp macro="" textlink="">
          <xdr:nvSpPr>
            <xdr:cNvPr id="118798" name="Check Box 14" hidden="1">
              <a:extLst>
                <a:ext uri="{63B3BB69-23CF-44E3-9099-C40C66FF867C}">
                  <a14:compatExt spid="_x0000_s118798"/>
                </a:ext>
                <a:ext uri="{FF2B5EF4-FFF2-40B4-BE49-F238E27FC236}">
                  <a16:creationId xmlns:a16="http://schemas.microsoft.com/office/drawing/2014/main" id="{00000000-0008-0000-0100-00000E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152400</xdr:colOff>
          <xdr:row>21</xdr:row>
          <xdr:rowOff>257175</xdr:rowOff>
        </xdr:to>
        <xdr:sp macro="" textlink="">
          <xdr:nvSpPr>
            <xdr:cNvPr id="118799" name="Check Box 15" hidden="1">
              <a:extLst>
                <a:ext uri="{63B3BB69-23CF-44E3-9099-C40C66FF867C}">
                  <a14:compatExt spid="_x0000_s118799"/>
                </a:ext>
                <a:ext uri="{FF2B5EF4-FFF2-40B4-BE49-F238E27FC236}">
                  <a16:creationId xmlns:a16="http://schemas.microsoft.com/office/drawing/2014/main" id="{00000000-0008-0000-0100-00000F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133350</xdr:colOff>
          <xdr:row>7</xdr:row>
          <xdr:rowOff>257175</xdr:rowOff>
        </xdr:to>
        <xdr:sp macro="" textlink="">
          <xdr:nvSpPr>
            <xdr:cNvPr id="118826" name="Check Box 42" hidden="1">
              <a:extLst>
                <a:ext uri="{63B3BB69-23CF-44E3-9099-C40C66FF867C}">
                  <a14:compatExt spid="_x0000_s118826"/>
                </a:ext>
                <a:ext uri="{FF2B5EF4-FFF2-40B4-BE49-F238E27FC236}">
                  <a16:creationId xmlns:a16="http://schemas.microsoft.com/office/drawing/2014/main" id="{00000000-0008-0000-0100-00002A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180975</xdr:colOff>
          <xdr:row>8</xdr:row>
          <xdr:rowOff>247650</xdr:rowOff>
        </xdr:to>
        <xdr:sp macro="" textlink="">
          <xdr:nvSpPr>
            <xdr:cNvPr id="118827" name="Check Box 43" hidden="1">
              <a:extLst>
                <a:ext uri="{63B3BB69-23CF-44E3-9099-C40C66FF867C}">
                  <a14:compatExt spid="_x0000_s118827"/>
                </a:ext>
                <a:ext uri="{FF2B5EF4-FFF2-40B4-BE49-F238E27FC236}">
                  <a16:creationId xmlns:a16="http://schemas.microsoft.com/office/drawing/2014/main" id="{00000000-0008-0000-0100-00002B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152400</xdr:colOff>
          <xdr:row>9</xdr:row>
          <xdr:rowOff>247650</xdr:rowOff>
        </xdr:to>
        <xdr:sp macro="" textlink="">
          <xdr:nvSpPr>
            <xdr:cNvPr id="118828" name="Check Box 44" hidden="1">
              <a:extLst>
                <a:ext uri="{63B3BB69-23CF-44E3-9099-C40C66FF867C}">
                  <a14:compatExt spid="_x0000_s118828"/>
                </a:ext>
                <a:ext uri="{FF2B5EF4-FFF2-40B4-BE49-F238E27FC236}">
                  <a16:creationId xmlns:a16="http://schemas.microsoft.com/office/drawing/2014/main" id="{00000000-0008-0000-0100-00002C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180975</xdr:colOff>
          <xdr:row>10</xdr:row>
          <xdr:rowOff>257175</xdr:rowOff>
        </xdr:to>
        <xdr:sp macro="" textlink="">
          <xdr:nvSpPr>
            <xdr:cNvPr id="118829" name="Check Box 45" hidden="1">
              <a:extLst>
                <a:ext uri="{63B3BB69-23CF-44E3-9099-C40C66FF867C}">
                  <a14:compatExt spid="_x0000_s118829"/>
                </a:ext>
                <a:ext uri="{FF2B5EF4-FFF2-40B4-BE49-F238E27FC236}">
                  <a16:creationId xmlns:a16="http://schemas.microsoft.com/office/drawing/2014/main" id="{00000000-0008-0000-0100-00002D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133350</xdr:colOff>
          <xdr:row>13</xdr:row>
          <xdr:rowOff>247650</xdr:rowOff>
        </xdr:to>
        <xdr:sp macro="" textlink="">
          <xdr:nvSpPr>
            <xdr:cNvPr id="118830" name="Check Box 46" hidden="1">
              <a:extLst>
                <a:ext uri="{63B3BB69-23CF-44E3-9099-C40C66FF867C}">
                  <a14:compatExt spid="_x0000_s118830"/>
                </a:ext>
                <a:ext uri="{FF2B5EF4-FFF2-40B4-BE49-F238E27FC236}">
                  <a16:creationId xmlns:a16="http://schemas.microsoft.com/office/drawing/2014/main" id="{00000000-0008-0000-0100-00002E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152400</xdr:colOff>
          <xdr:row>11</xdr:row>
          <xdr:rowOff>247650</xdr:rowOff>
        </xdr:to>
        <xdr:sp macro="" textlink="">
          <xdr:nvSpPr>
            <xdr:cNvPr id="118831" name="Check Box 47" hidden="1">
              <a:extLst>
                <a:ext uri="{63B3BB69-23CF-44E3-9099-C40C66FF867C}">
                  <a14:compatExt spid="_x0000_s118831"/>
                </a:ext>
                <a:ext uri="{FF2B5EF4-FFF2-40B4-BE49-F238E27FC236}">
                  <a16:creationId xmlns:a16="http://schemas.microsoft.com/office/drawing/2014/main" id="{00000000-0008-0000-0100-00002F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161925</xdr:colOff>
          <xdr:row>12</xdr:row>
          <xdr:rowOff>228600</xdr:rowOff>
        </xdr:to>
        <xdr:sp macro="" textlink="">
          <xdr:nvSpPr>
            <xdr:cNvPr id="118832" name="Check Box 48" hidden="1">
              <a:extLst>
                <a:ext uri="{63B3BB69-23CF-44E3-9099-C40C66FF867C}">
                  <a14:compatExt spid="_x0000_s118832"/>
                </a:ext>
                <a:ext uri="{FF2B5EF4-FFF2-40B4-BE49-F238E27FC236}">
                  <a16:creationId xmlns:a16="http://schemas.microsoft.com/office/drawing/2014/main" id="{00000000-0008-0000-0100-000030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18853" name="Check Box 69" hidden="1">
              <a:extLst>
                <a:ext uri="{63B3BB69-23CF-44E3-9099-C40C66FF867C}">
                  <a14:compatExt spid="_x0000_s118853"/>
                </a:ext>
                <a:ext uri="{FF2B5EF4-FFF2-40B4-BE49-F238E27FC236}">
                  <a16:creationId xmlns:a16="http://schemas.microsoft.com/office/drawing/2014/main" id="{00000000-0008-0000-0100-000045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114300</xdr:colOff>
          <xdr:row>20</xdr:row>
          <xdr:rowOff>257175</xdr:rowOff>
        </xdr:to>
        <xdr:sp macro="" textlink="">
          <xdr:nvSpPr>
            <xdr:cNvPr id="118858" name="Check Box 74" hidden="1">
              <a:extLst>
                <a:ext uri="{63B3BB69-23CF-44E3-9099-C40C66FF867C}">
                  <a14:compatExt spid="_x0000_s118858"/>
                </a:ext>
                <a:ext uri="{FF2B5EF4-FFF2-40B4-BE49-F238E27FC236}">
                  <a16:creationId xmlns:a16="http://schemas.microsoft.com/office/drawing/2014/main" id="{00000000-0008-0000-0100-00004A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142875</xdr:colOff>
          <xdr:row>21</xdr:row>
          <xdr:rowOff>257175</xdr:rowOff>
        </xdr:to>
        <xdr:sp macro="" textlink="">
          <xdr:nvSpPr>
            <xdr:cNvPr id="118859" name="Check Box 75" hidden="1">
              <a:extLst>
                <a:ext uri="{63B3BB69-23CF-44E3-9099-C40C66FF867C}">
                  <a14:compatExt spid="_x0000_s118859"/>
                </a:ext>
                <a:ext uri="{FF2B5EF4-FFF2-40B4-BE49-F238E27FC236}">
                  <a16:creationId xmlns:a16="http://schemas.microsoft.com/office/drawing/2014/main" id="{00000000-0008-0000-0100-00004B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02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02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47459" name="Check Box 3" hidden="1">
              <a:extLst>
                <a:ext uri="{63B3BB69-23CF-44E3-9099-C40C66FF867C}">
                  <a14:compatExt spid="_x0000_s147459"/>
                </a:ext>
                <a:ext uri="{FF2B5EF4-FFF2-40B4-BE49-F238E27FC236}">
                  <a16:creationId xmlns:a16="http://schemas.microsoft.com/office/drawing/2014/main" id="{00000000-0008-0000-0200-000003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47460" name="Check Box 4" hidden="1">
              <a:extLst>
                <a:ext uri="{63B3BB69-23CF-44E3-9099-C40C66FF867C}">
                  <a14:compatExt spid="_x0000_s147460"/>
                </a:ext>
                <a:ext uri="{FF2B5EF4-FFF2-40B4-BE49-F238E27FC236}">
                  <a16:creationId xmlns:a16="http://schemas.microsoft.com/office/drawing/2014/main" id="{00000000-0008-0000-0200-000004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47461" name="Check Box 5" hidden="1">
              <a:extLst>
                <a:ext uri="{63B3BB69-23CF-44E3-9099-C40C66FF867C}">
                  <a14:compatExt spid="_x0000_s147461"/>
                </a:ext>
                <a:ext uri="{FF2B5EF4-FFF2-40B4-BE49-F238E27FC236}">
                  <a16:creationId xmlns:a16="http://schemas.microsoft.com/office/drawing/2014/main" id="{00000000-0008-0000-0200-000005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47462" name="Check Box 6" hidden="1">
              <a:extLst>
                <a:ext uri="{63B3BB69-23CF-44E3-9099-C40C66FF867C}">
                  <a14:compatExt spid="_x0000_s147462"/>
                </a:ext>
                <a:ext uri="{FF2B5EF4-FFF2-40B4-BE49-F238E27FC236}">
                  <a16:creationId xmlns:a16="http://schemas.microsoft.com/office/drawing/2014/main" id="{00000000-0008-0000-0200-000006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47463" name="Check Box 7" hidden="1">
              <a:extLst>
                <a:ext uri="{63B3BB69-23CF-44E3-9099-C40C66FF867C}">
                  <a14:compatExt spid="_x0000_s147463"/>
                </a:ext>
                <a:ext uri="{FF2B5EF4-FFF2-40B4-BE49-F238E27FC236}">
                  <a16:creationId xmlns:a16="http://schemas.microsoft.com/office/drawing/2014/main" id="{00000000-0008-0000-0200-000007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47464" name="Check Box 8" hidden="1">
              <a:extLst>
                <a:ext uri="{63B3BB69-23CF-44E3-9099-C40C66FF867C}">
                  <a14:compatExt spid="_x0000_s147464"/>
                </a:ext>
                <a:ext uri="{FF2B5EF4-FFF2-40B4-BE49-F238E27FC236}">
                  <a16:creationId xmlns:a16="http://schemas.microsoft.com/office/drawing/2014/main" id="{00000000-0008-0000-0200-000008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47465" name="Check Box 9" hidden="1">
              <a:extLst>
                <a:ext uri="{63B3BB69-23CF-44E3-9099-C40C66FF867C}">
                  <a14:compatExt spid="_x0000_s147465"/>
                </a:ext>
                <a:ext uri="{FF2B5EF4-FFF2-40B4-BE49-F238E27FC236}">
                  <a16:creationId xmlns:a16="http://schemas.microsoft.com/office/drawing/2014/main" id="{00000000-0008-0000-0200-000009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47466" name="Check Box 10" hidden="1">
              <a:extLst>
                <a:ext uri="{63B3BB69-23CF-44E3-9099-C40C66FF867C}">
                  <a14:compatExt spid="_x0000_s147466"/>
                </a:ext>
                <a:ext uri="{FF2B5EF4-FFF2-40B4-BE49-F238E27FC236}">
                  <a16:creationId xmlns:a16="http://schemas.microsoft.com/office/drawing/2014/main" id="{00000000-0008-0000-0200-00000A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47467" name="Check Box 11" hidden="1">
              <a:extLst>
                <a:ext uri="{63B3BB69-23CF-44E3-9099-C40C66FF867C}">
                  <a14:compatExt spid="_x0000_s147467"/>
                </a:ext>
                <a:ext uri="{FF2B5EF4-FFF2-40B4-BE49-F238E27FC236}">
                  <a16:creationId xmlns:a16="http://schemas.microsoft.com/office/drawing/2014/main" id="{00000000-0008-0000-0200-00000B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47468" name="Check Box 12" hidden="1">
              <a:extLst>
                <a:ext uri="{63B3BB69-23CF-44E3-9099-C40C66FF867C}">
                  <a14:compatExt spid="_x0000_s147468"/>
                </a:ext>
                <a:ext uri="{FF2B5EF4-FFF2-40B4-BE49-F238E27FC236}">
                  <a16:creationId xmlns:a16="http://schemas.microsoft.com/office/drawing/2014/main" id="{00000000-0008-0000-0200-00000C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47469" name="Check Box 13" hidden="1">
              <a:extLst>
                <a:ext uri="{63B3BB69-23CF-44E3-9099-C40C66FF867C}">
                  <a14:compatExt spid="_x0000_s147469"/>
                </a:ext>
                <a:ext uri="{FF2B5EF4-FFF2-40B4-BE49-F238E27FC236}">
                  <a16:creationId xmlns:a16="http://schemas.microsoft.com/office/drawing/2014/main" id="{00000000-0008-0000-0200-00000D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47470" name="Check Box 14" hidden="1">
              <a:extLst>
                <a:ext uri="{63B3BB69-23CF-44E3-9099-C40C66FF867C}">
                  <a14:compatExt spid="_x0000_s147470"/>
                </a:ext>
                <a:ext uri="{FF2B5EF4-FFF2-40B4-BE49-F238E27FC236}">
                  <a16:creationId xmlns:a16="http://schemas.microsoft.com/office/drawing/2014/main" id="{00000000-0008-0000-0200-00000E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47471" name="Check Box 15" hidden="1">
              <a:extLst>
                <a:ext uri="{63B3BB69-23CF-44E3-9099-C40C66FF867C}">
                  <a14:compatExt spid="_x0000_s147471"/>
                </a:ext>
                <a:ext uri="{FF2B5EF4-FFF2-40B4-BE49-F238E27FC236}">
                  <a16:creationId xmlns:a16="http://schemas.microsoft.com/office/drawing/2014/main" id="{00000000-0008-0000-0200-00000F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47472" name="Check Box 16" hidden="1">
              <a:extLst>
                <a:ext uri="{63B3BB69-23CF-44E3-9099-C40C66FF867C}">
                  <a14:compatExt spid="_x0000_s147472"/>
                </a:ext>
                <a:ext uri="{FF2B5EF4-FFF2-40B4-BE49-F238E27FC236}">
                  <a16:creationId xmlns:a16="http://schemas.microsoft.com/office/drawing/2014/main" id="{00000000-0008-0000-0200-000010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47473" name="Check Box 17" hidden="1">
              <a:extLst>
                <a:ext uri="{63B3BB69-23CF-44E3-9099-C40C66FF867C}">
                  <a14:compatExt spid="_x0000_s147473"/>
                </a:ext>
                <a:ext uri="{FF2B5EF4-FFF2-40B4-BE49-F238E27FC236}">
                  <a16:creationId xmlns:a16="http://schemas.microsoft.com/office/drawing/2014/main" id="{00000000-0008-0000-0200-00001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47474" name="Check Box 18" hidden="1">
              <a:extLst>
                <a:ext uri="{63B3BB69-23CF-44E3-9099-C40C66FF867C}">
                  <a14:compatExt spid="_x0000_s147474"/>
                </a:ext>
                <a:ext uri="{FF2B5EF4-FFF2-40B4-BE49-F238E27FC236}">
                  <a16:creationId xmlns:a16="http://schemas.microsoft.com/office/drawing/2014/main" id="{00000000-0008-0000-0200-00001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47475" name="Check Box 19" hidden="1">
              <a:extLst>
                <a:ext uri="{63B3BB69-23CF-44E3-9099-C40C66FF867C}">
                  <a14:compatExt spid="_x0000_s147475"/>
                </a:ext>
                <a:ext uri="{FF2B5EF4-FFF2-40B4-BE49-F238E27FC236}">
                  <a16:creationId xmlns:a16="http://schemas.microsoft.com/office/drawing/2014/main" id="{00000000-0008-0000-0200-000013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47476" name="Check Box 20" hidden="1">
              <a:extLst>
                <a:ext uri="{63B3BB69-23CF-44E3-9099-C40C66FF867C}">
                  <a14:compatExt spid="_x0000_s147476"/>
                </a:ext>
                <a:ext uri="{FF2B5EF4-FFF2-40B4-BE49-F238E27FC236}">
                  <a16:creationId xmlns:a16="http://schemas.microsoft.com/office/drawing/2014/main" id="{00000000-0008-0000-0200-000014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47477" name="Check Box 21" hidden="1">
              <a:extLst>
                <a:ext uri="{63B3BB69-23CF-44E3-9099-C40C66FF867C}">
                  <a14:compatExt spid="_x0000_s147477"/>
                </a:ext>
                <a:ext uri="{FF2B5EF4-FFF2-40B4-BE49-F238E27FC236}">
                  <a16:creationId xmlns:a16="http://schemas.microsoft.com/office/drawing/2014/main" id="{00000000-0008-0000-0200-000015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47492" name="Check Box 36" hidden="1">
              <a:extLst>
                <a:ext uri="{63B3BB69-23CF-44E3-9099-C40C66FF867C}">
                  <a14:compatExt spid="_x0000_s147492"/>
                </a:ext>
                <a:ext uri="{FF2B5EF4-FFF2-40B4-BE49-F238E27FC236}">
                  <a16:creationId xmlns:a16="http://schemas.microsoft.com/office/drawing/2014/main" id="{00000000-0008-0000-0200-000024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47493" name="Check Box 37" hidden="1">
              <a:extLst>
                <a:ext uri="{63B3BB69-23CF-44E3-9099-C40C66FF867C}">
                  <a14:compatExt spid="_x0000_s147493"/>
                </a:ext>
                <a:ext uri="{FF2B5EF4-FFF2-40B4-BE49-F238E27FC236}">
                  <a16:creationId xmlns:a16="http://schemas.microsoft.com/office/drawing/2014/main" id="{00000000-0008-0000-0200-000025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47494" name="Check Box 38" hidden="1">
              <a:extLst>
                <a:ext uri="{63B3BB69-23CF-44E3-9099-C40C66FF867C}">
                  <a14:compatExt spid="_x0000_s147494"/>
                </a:ext>
                <a:ext uri="{FF2B5EF4-FFF2-40B4-BE49-F238E27FC236}">
                  <a16:creationId xmlns:a16="http://schemas.microsoft.com/office/drawing/2014/main" id="{00000000-0008-0000-0200-000026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41" name="グループ化 40">
          <a:extLst>
            <a:ext uri="{FF2B5EF4-FFF2-40B4-BE49-F238E27FC236}">
              <a16:creationId xmlns:a16="http://schemas.microsoft.com/office/drawing/2014/main" id="{00000000-0008-0000-0200-000029000000}"/>
            </a:ext>
          </a:extLst>
        </xdr:cNvPr>
        <xdr:cNvGrpSpPr>
          <a:grpSpLocks/>
        </xdr:cNvGrpSpPr>
      </xdr:nvGrpSpPr>
      <xdr:grpSpPr bwMode="auto">
        <a:xfrm>
          <a:off x="424622" y="4438252"/>
          <a:ext cx="2041072" cy="3261472"/>
          <a:chOff x="82439" y="4201839"/>
          <a:chExt cx="2097800" cy="2940926"/>
        </a:xfrm>
        <a:noFill/>
      </xdr:grpSpPr>
      <xdr:sp macro="" textlink="">
        <xdr:nvSpPr>
          <xdr:cNvPr id="42" name="正方形/長方形 41">
            <a:extLst>
              <a:ext uri="{FF2B5EF4-FFF2-40B4-BE49-F238E27FC236}">
                <a16:creationId xmlns:a16="http://schemas.microsoft.com/office/drawing/2014/main" id="{00000000-0008-0000-0200-00002A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43" name="Picture 1">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3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3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03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48484" name="Check Box 4" hidden="1">
              <a:extLst>
                <a:ext uri="{63B3BB69-23CF-44E3-9099-C40C66FF867C}">
                  <a14:compatExt spid="_x0000_s148484"/>
                </a:ext>
                <a:ext uri="{FF2B5EF4-FFF2-40B4-BE49-F238E27FC236}">
                  <a16:creationId xmlns:a16="http://schemas.microsoft.com/office/drawing/2014/main" id="{00000000-0008-0000-0300-00000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3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3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03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3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3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3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03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48492" name="Check Box 12" hidden="1">
              <a:extLst>
                <a:ext uri="{63B3BB69-23CF-44E3-9099-C40C66FF867C}">
                  <a14:compatExt spid="_x0000_s148492"/>
                </a:ext>
                <a:ext uri="{FF2B5EF4-FFF2-40B4-BE49-F238E27FC236}">
                  <a16:creationId xmlns:a16="http://schemas.microsoft.com/office/drawing/2014/main" id="{00000000-0008-0000-0300-00000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48493" name="Check Box 13" hidden="1">
              <a:extLst>
                <a:ext uri="{63B3BB69-23CF-44E3-9099-C40C66FF867C}">
                  <a14:compatExt spid="_x0000_s148493"/>
                </a:ext>
                <a:ext uri="{FF2B5EF4-FFF2-40B4-BE49-F238E27FC236}">
                  <a16:creationId xmlns:a16="http://schemas.microsoft.com/office/drawing/2014/main" id="{00000000-0008-0000-0300-00000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48494" name="Check Box 14" hidden="1">
              <a:extLst>
                <a:ext uri="{63B3BB69-23CF-44E3-9099-C40C66FF867C}">
                  <a14:compatExt spid="_x0000_s148494"/>
                </a:ext>
                <a:ext uri="{FF2B5EF4-FFF2-40B4-BE49-F238E27FC236}">
                  <a16:creationId xmlns:a16="http://schemas.microsoft.com/office/drawing/2014/main" id="{00000000-0008-0000-0300-00000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48495" name="Check Box 15" hidden="1">
              <a:extLst>
                <a:ext uri="{63B3BB69-23CF-44E3-9099-C40C66FF867C}">
                  <a14:compatExt spid="_x0000_s148495"/>
                </a:ext>
                <a:ext uri="{FF2B5EF4-FFF2-40B4-BE49-F238E27FC236}">
                  <a16:creationId xmlns:a16="http://schemas.microsoft.com/office/drawing/2014/main" id="{00000000-0008-0000-0300-00000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48496" name="Check Box 16" hidden="1">
              <a:extLst>
                <a:ext uri="{63B3BB69-23CF-44E3-9099-C40C66FF867C}">
                  <a14:compatExt spid="_x0000_s148496"/>
                </a:ext>
                <a:ext uri="{FF2B5EF4-FFF2-40B4-BE49-F238E27FC236}">
                  <a16:creationId xmlns:a16="http://schemas.microsoft.com/office/drawing/2014/main" id="{00000000-0008-0000-0300-00001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48497" name="Check Box 17" hidden="1">
              <a:extLst>
                <a:ext uri="{63B3BB69-23CF-44E3-9099-C40C66FF867C}">
                  <a14:compatExt spid="_x0000_s148497"/>
                </a:ext>
                <a:ext uri="{FF2B5EF4-FFF2-40B4-BE49-F238E27FC236}">
                  <a16:creationId xmlns:a16="http://schemas.microsoft.com/office/drawing/2014/main" id="{00000000-0008-0000-0300-00001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48498" name="Check Box 18" hidden="1">
              <a:extLst>
                <a:ext uri="{63B3BB69-23CF-44E3-9099-C40C66FF867C}">
                  <a14:compatExt spid="_x0000_s148498"/>
                </a:ext>
                <a:ext uri="{FF2B5EF4-FFF2-40B4-BE49-F238E27FC236}">
                  <a16:creationId xmlns:a16="http://schemas.microsoft.com/office/drawing/2014/main" id="{00000000-0008-0000-0300-00001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48499" name="Check Box 19" hidden="1">
              <a:extLst>
                <a:ext uri="{63B3BB69-23CF-44E3-9099-C40C66FF867C}">
                  <a14:compatExt spid="_x0000_s148499"/>
                </a:ext>
                <a:ext uri="{FF2B5EF4-FFF2-40B4-BE49-F238E27FC236}">
                  <a16:creationId xmlns:a16="http://schemas.microsoft.com/office/drawing/2014/main" id="{00000000-0008-0000-0300-00001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48500" name="Check Box 20" hidden="1">
              <a:extLst>
                <a:ext uri="{63B3BB69-23CF-44E3-9099-C40C66FF867C}">
                  <a14:compatExt spid="_x0000_s148500"/>
                </a:ext>
                <a:ext uri="{FF2B5EF4-FFF2-40B4-BE49-F238E27FC236}">
                  <a16:creationId xmlns:a16="http://schemas.microsoft.com/office/drawing/2014/main" id="{00000000-0008-0000-0300-00001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48501" name="Check Box 21" hidden="1">
              <a:extLst>
                <a:ext uri="{63B3BB69-23CF-44E3-9099-C40C66FF867C}">
                  <a14:compatExt spid="_x0000_s148501"/>
                </a:ext>
                <a:ext uri="{FF2B5EF4-FFF2-40B4-BE49-F238E27FC236}">
                  <a16:creationId xmlns:a16="http://schemas.microsoft.com/office/drawing/2014/main" id="{00000000-0008-0000-0300-00001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48520" name="Check Box 40" hidden="1">
              <a:extLst>
                <a:ext uri="{63B3BB69-23CF-44E3-9099-C40C66FF867C}">
                  <a14:compatExt spid="_x0000_s148520"/>
                </a:ext>
                <a:ext uri="{FF2B5EF4-FFF2-40B4-BE49-F238E27FC236}">
                  <a16:creationId xmlns:a16="http://schemas.microsoft.com/office/drawing/2014/main" id="{00000000-0008-0000-0300-00002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48521" name="Check Box 41" hidden="1">
              <a:extLst>
                <a:ext uri="{63B3BB69-23CF-44E3-9099-C40C66FF867C}">
                  <a14:compatExt spid="_x0000_s148521"/>
                </a:ext>
                <a:ext uri="{FF2B5EF4-FFF2-40B4-BE49-F238E27FC236}">
                  <a16:creationId xmlns:a16="http://schemas.microsoft.com/office/drawing/2014/main" id="{00000000-0008-0000-0300-00002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48522" name="Check Box 42" hidden="1">
              <a:extLst>
                <a:ext uri="{63B3BB69-23CF-44E3-9099-C40C66FF867C}">
                  <a14:compatExt spid="_x0000_s148522"/>
                </a:ext>
                <a:ext uri="{FF2B5EF4-FFF2-40B4-BE49-F238E27FC236}">
                  <a16:creationId xmlns:a16="http://schemas.microsoft.com/office/drawing/2014/main" id="{00000000-0008-0000-0300-00002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37" name="グループ化 36">
          <a:extLst>
            <a:ext uri="{FF2B5EF4-FFF2-40B4-BE49-F238E27FC236}">
              <a16:creationId xmlns:a16="http://schemas.microsoft.com/office/drawing/2014/main" id="{00000000-0008-0000-0300-000025000000}"/>
            </a:ext>
          </a:extLst>
        </xdr:cNvPr>
        <xdr:cNvGrpSpPr>
          <a:grpSpLocks/>
        </xdr:cNvGrpSpPr>
      </xdr:nvGrpSpPr>
      <xdr:grpSpPr bwMode="auto">
        <a:xfrm>
          <a:off x="424622" y="4438252"/>
          <a:ext cx="2041072" cy="3261472"/>
          <a:chOff x="82439" y="4201839"/>
          <a:chExt cx="2097800" cy="2940926"/>
        </a:xfrm>
        <a:noFill/>
      </xdr:grpSpPr>
      <xdr:sp macro="" textlink="">
        <xdr:nvSpPr>
          <xdr:cNvPr id="38" name="正方形/長方形 37">
            <a:extLst>
              <a:ext uri="{FF2B5EF4-FFF2-40B4-BE49-F238E27FC236}">
                <a16:creationId xmlns:a16="http://schemas.microsoft.com/office/drawing/2014/main" id="{00000000-0008-0000-0300-000026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39" name="Picture 1">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49505" name="Check Box 1" hidden="1">
              <a:extLst>
                <a:ext uri="{63B3BB69-23CF-44E3-9099-C40C66FF867C}">
                  <a14:compatExt spid="_x0000_s149505"/>
                </a:ext>
                <a:ext uri="{FF2B5EF4-FFF2-40B4-BE49-F238E27FC236}">
                  <a16:creationId xmlns:a16="http://schemas.microsoft.com/office/drawing/2014/main" id="{00000000-0008-0000-0400-00000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49506" name="Check Box 2" hidden="1">
              <a:extLst>
                <a:ext uri="{63B3BB69-23CF-44E3-9099-C40C66FF867C}">
                  <a14:compatExt spid="_x0000_s149506"/>
                </a:ext>
                <a:ext uri="{FF2B5EF4-FFF2-40B4-BE49-F238E27FC236}">
                  <a16:creationId xmlns:a16="http://schemas.microsoft.com/office/drawing/2014/main" id="{00000000-0008-0000-0400-00000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49507" name="Check Box 3" hidden="1">
              <a:extLst>
                <a:ext uri="{63B3BB69-23CF-44E3-9099-C40C66FF867C}">
                  <a14:compatExt spid="_x0000_s149507"/>
                </a:ext>
                <a:ext uri="{FF2B5EF4-FFF2-40B4-BE49-F238E27FC236}">
                  <a16:creationId xmlns:a16="http://schemas.microsoft.com/office/drawing/2014/main" id="{00000000-0008-0000-0400-00000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49508" name="Check Box 4" hidden="1">
              <a:extLst>
                <a:ext uri="{63B3BB69-23CF-44E3-9099-C40C66FF867C}">
                  <a14:compatExt spid="_x0000_s149508"/>
                </a:ext>
                <a:ext uri="{FF2B5EF4-FFF2-40B4-BE49-F238E27FC236}">
                  <a16:creationId xmlns:a16="http://schemas.microsoft.com/office/drawing/2014/main" id="{00000000-0008-0000-0400-00000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49509" name="Check Box 5" hidden="1">
              <a:extLst>
                <a:ext uri="{63B3BB69-23CF-44E3-9099-C40C66FF867C}">
                  <a14:compatExt spid="_x0000_s149509"/>
                </a:ext>
                <a:ext uri="{FF2B5EF4-FFF2-40B4-BE49-F238E27FC236}">
                  <a16:creationId xmlns:a16="http://schemas.microsoft.com/office/drawing/2014/main" id="{00000000-0008-0000-0400-00000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49510" name="Check Box 6" hidden="1">
              <a:extLst>
                <a:ext uri="{63B3BB69-23CF-44E3-9099-C40C66FF867C}">
                  <a14:compatExt spid="_x0000_s149510"/>
                </a:ext>
                <a:ext uri="{FF2B5EF4-FFF2-40B4-BE49-F238E27FC236}">
                  <a16:creationId xmlns:a16="http://schemas.microsoft.com/office/drawing/2014/main" id="{00000000-0008-0000-0400-00000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49511" name="Check Box 7" hidden="1">
              <a:extLst>
                <a:ext uri="{63B3BB69-23CF-44E3-9099-C40C66FF867C}">
                  <a14:compatExt spid="_x0000_s149511"/>
                </a:ext>
                <a:ext uri="{FF2B5EF4-FFF2-40B4-BE49-F238E27FC236}">
                  <a16:creationId xmlns:a16="http://schemas.microsoft.com/office/drawing/2014/main" id="{00000000-0008-0000-0400-00000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49512" name="Check Box 8" hidden="1">
              <a:extLst>
                <a:ext uri="{63B3BB69-23CF-44E3-9099-C40C66FF867C}">
                  <a14:compatExt spid="_x0000_s149512"/>
                </a:ext>
                <a:ext uri="{FF2B5EF4-FFF2-40B4-BE49-F238E27FC236}">
                  <a16:creationId xmlns:a16="http://schemas.microsoft.com/office/drawing/2014/main" id="{00000000-0008-0000-0400-00000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49513" name="Check Box 9" hidden="1">
              <a:extLst>
                <a:ext uri="{63B3BB69-23CF-44E3-9099-C40C66FF867C}">
                  <a14:compatExt spid="_x0000_s149513"/>
                </a:ext>
                <a:ext uri="{FF2B5EF4-FFF2-40B4-BE49-F238E27FC236}">
                  <a16:creationId xmlns:a16="http://schemas.microsoft.com/office/drawing/2014/main" id="{00000000-0008-0000-0400-00000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49514" name="Check Box 10" hidden="1">
              <a:extLst>
                <a:ext uri="{63B3BB69-23CF-44E3-9099-C40C66FF867C}">
                  <a14:compatExt spid="_x0000_s149514"/>
                </a:ext>
                <a:ext uri="{FF2B5EF4-FFF2-40B4-BE49-F238E27FC236}">
                  <a16:creationId xmlns:a16="http://schemas.microsoft.com/office/drawing/2014/main" id="{00000000-0008-0000-0400-00000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49515" name="Check Box 11" hidden="1">
              <a:extLst>
                <a:ext uri="{63B3BB69-23CF-44E3-9099-C40C66FF867C}">
                  <a14:compatExt spid="_x0000_s149515"/>
                </a:ext>
                <a:ext uri="{FF2B5EF4-FFF2-40B4-BE49-F238E27FC236}">
                  <a16:creationId xmlns:a16="http://schemas.microsoft.com/office/drawing/2014/main" id="{00000000-0008-0000-0400-00000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49516" name="Check Box 12" hidden="1">
              <a:extLst>
                <a:ext uri="{63B3BB69-23CF-44E3-9099-C40C66FF867C}">
                  <a14:compatExt spid="_x0000_s149516"/>
                </a:ext>
                <a:ext uri="{FF2B5EF4-FFF2-40B4-BE49-F238E27FC236}">
                  <a16:creationId xmlns:a16="http://schemas.microsoft.com/office/drawing/2014/main" id="{00000000-0008-0000-0400-00000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49517" name="Check Box 13" hidden="1">
              <a:extLst>
                <a:ext uri="{63B3BB69-23CF-44E3-9099-C40C66FF867C}">
                  <a14:compatExt spid="_x0000_s149517"/>
                </a:ext>
                <a:ext uri="{FF2B5EF4-FFF2-40B4-BE49-F238E27FC236}">
                  <a16:creationId xmlns:a16="http://schemas.microsoft.com/office/drawing/2014/main" id="{00000000-0008-0000-0400-00000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49518" name="Check Box 14" hidden="1">
              <a:extLst>
                <a:ext uri="{63B3BB69-23CF-44E3-9099-C40C66FF867C}">
                  <a14:compatExt spid="_x0000_s149518"/>
                </a:ext>
                <a:ext uri="{FF2B5EF4-FFF2-40B4-BE49-F238E27FC236}">
                  <a16:creationId xmlns:a16="http://schemas.microsoft.com/office/drawing/2014/main" id="{00000000-0008-0000-0400-00000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49519" name="Check Box 15" hidden="1">
              <a:extLst>
                <a:ext uri="{63B3BB69-23CF-44E3-9099-C40C66FF867C}">
                  <a14:compatExt spid="_x0000_s149519"/>
                </a:ext>
                <a:ext uri="{FF2B5EF4-FFF2-40B4-BE49-F238E27FC236}">
                  <a16:creationId xmlns:a16="http://schemas.microsoft.com/office/drawing/2014/main" id="{00000000-0008-0000-0400-00000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49520" name="Check Box 16" hidden="1">
              <a:extLst>
                <a:ext uri="{63B3BB69-23CF-44E3-9099-C40C66FF867C}">
                  <a14:compatExt spid="_x0000_s149520"/>
                </a:ext>
                <a:ext uri="{FF2B5EF4-FFF2-40B4-BE49-F238E27FC236}">
                  <a16:creationId xmlns:a16="http://schemas.microsoft.com/office/drawing/2014/main" id="{00000000-0008-0000-0400-00001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49521" name="Check Box 17" hidden="1">
              <a:extLst>
                <a:ext uri="{63B3BB69-23CF-44E3-9099-C40C66FF867C}">
                  <a14:compatExt spid="_x0000_s149521"/>
                </a:ext>
                <a:ext uri="{FF2B5EF4-FFF2-40B4-BE49-F238E27FC236}">
                  <a16:creationId xmlns:a16="http://schemas.microsoft.com/office/drawing/2014/main" id="{00000000-0008-0000-0400-00001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49522" name="Check Box 18" hidden="1">
              <a:extLst>
                <a:ext uri="{63B3BB69-23CF-44E3-9099-C40C66FF867C}">
                  <a14:compatExt spid="_x0000_s149522"/>
                </a:ext>
                <a:ext uri="{FF2B5EF4-FFF2-40B4-BE49-F238E27FC236}">
                  <a16:creationId xmlns:a16="http://schemas.microsoft.com/office/drawing/2014/main" id="{00000000-0008-0000-0400-00001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49523" name="Check Box 19" hidden="1">
              <a:extLst>
                <a:ext uri="{63B3BB69-23CF-44E3-9099-C40C66FF867C}">
                  <a14:compatExt spid="_x0000_s149523"/>
                </a:ext>
                <a:ext uri="{FF2B5EF4-FFF2-40B4-BE49-F238E27FC236}">
                  <a16:creationId xmlns:a16="http://schemas.microsoft.com/office/drawing/2014/main" id="{00000000-0008-0000-0400-00001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49524" name="Check Box 20" hidden="1">
              <a:extLst>
                <a:ext uri="{63B3BB69-23CF-44E3-9099-C40C66FF867C}">
                  <a14:compatExt spid="_x0000_s149524"/>
                </a:ext>
                <a:ext uri="{FF2B5EF4-FFF2-40B4-BE49-F238E27FC236}">
                  <a16:creationId xmlns:a16="http://schemas.microsoft.com/office/drawing/2014/main" id="{00000000-0008-0000-0400-00001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49525" name="Check Box 21" hidden="1">
              <a:extLst>
                <a:ext uri="{63B3BB69-23CF-44E3-9099-C40C66FF867C}">
                  <a14:compatExt spid="_x0000_s149525"/>
                </a:ext>
                <a:ext uri="{FF2B5EF4-FFF2-40B4-BE49-F238E27FC236}">
                  <a16:creationId xmlns:a16="http://schemas.microsoft.com/office/drawing/2014/main" id="{00000000-0008-0000-0400-00001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49541" name="Check Box 37" hidden="1">
              <a:extLst>
                <a:ext uri="{63B3BB69-23CF-44E3-9099-C40C66FF867C}">
                  <a14:compatExt spid="_x0000_s149541"/>
                </a:ext>
                <a:ext uri="{FF2B5EF4-FFF2-40B4-BE49-F238E27FC236}">
                  <a16:creationId xmlns:a16="http://schemas.microsoft.com/office/drawing/2014/main" id="{00000000-0008-0000-0400-00002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49542" name="Check Box 38" hidden="1">
              <a:extLst>
                <a:ext uri="{63B3BB69-23CF-44E3-9099-C40C66FF867C}">
                  <a14:compatExt spid="_x0000_s149542"/>
                </a:ext>
                <a:ext uri="{FF2B5EF4-FFF2-40B4-BE49-F238E27FC236}">
                  <a16:creationId xmlns:a16="http://schemas.microsoft.com/office/drawing/2014/main" id="{00000000-0008-0000-0400-00002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36" name="グループ化 35">
          <a:extLst>
            <a:ext uri="{FF2B5EF4-FFF2-40B4-BE49-F238E27FC236}">
              <a16:creationId xmlns:a16="http://schemas.microsoft.com/office/drawing/2014/main" id="{00000000-0008-0000-0400-000024000000}"/>
            </a:ext>
          </a:extLst>
        </xdr:cNvPr>
        <xdr:cNvGrpSpPr>
          <a:grpSpLocks/>
        </xdr:cNvGrpSpPr>
      </xdr:nvGrpSpPr>
      <xdr:grpSpPr bwMode="auto">
        <a:xfrm>
          <a:off x="424622" y="4438252"/>
          <a:ext cx="2041072" cy="3261472"/>
          <a:chOff x="82439" y="4201839"/>
          <a:chExt cx="2097800" cy="2940926"/>
        </a:xfrm>
        <a:noFill/>
      </xdr:grpSpPr>
      <xdr:sp macro="" textlink="">
        <xdr:nvSpPr>
          <xdr:cNvPr id="37" name="正方形/長方形 36">
            <a:extLst>
              <a:ext uri="{FF2B5EF4-FFF2-40B4-BE49-F238E27FC236}">
                <a16:creationId xmlns:a16="http://schemas.microsoft.com/office/drawing/2014/main" id="{00000000-0008-0000-0400-000025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38" name="Picture 1">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500-00000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500-00000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5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50532" name="Check Box 4" hidden="1">
              <a:extLst>
                <a:ext uri="{63B3BB69-23CF-44E3-9099-C40C66FF867C}">
                  <a14:compatExt spid="_x0000_s150532"/>
                </a:ext>
                <a:ext uri="{FF2B5EF4-FFF2-40B4-BE49-F238E27FC236}">
                  <a16:creationId xmlns:a16="http://schemas.microsoft.com/office/drawing/2014/main" id="{00000000-0008-0000-0500-00000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5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5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5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5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5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50538" name="Check Box 10" hidden="1">
              <a:extLst>
                <a:ext uri="{63B3BB69-23CF-44E3-9099-C40C66FF867C}">
                  <a14:compatExt spid="_x0000_s150538"/>
                </a:ext>
                <a:ext uri="{FF2B5EF4-FFF2-40B4-BE49-F238E27FC236}">
                  <a16:creationId xmlns:a16="http://schemas.microsoft.com/office/drawing/2014/main" id="{00000000-0008-0000-0500-00000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50539" name="Check Box 11" hidden="1">
              <a:extLst>
                <a:ext uri="{63B3BB69-23CF-44E3-9099-C40C66FF867C}">
                  <a14:compatExt spid="_x0000_s150539"/>
                </a:ext>
                <a:ext uri="{FF2B5EF4-FFF2-40B4-BE49-F238E27FC236}">
                  <a16:creationId xmlns:a16="http://schemas.microsoft.com/office/drawing/2014/main" id="{00000000-0008-0000-0500-00000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50540" name="Check Box 12" hidden="1">
              <a:extLst>
                <a:ext uri="{63B3BB69-23CF-44E3-9099-C40C66FF867C}">
                  <a14:compatExt spid="_x0000_s150540"/>
                </a:ext>
                <a:ext uri="{FF2B5EF4-FFF2-40B4-BE49-F238E27FC236}">
                  <a16:creationId xmlns:a16="http://schemas.microsoft.com/office/drawing/2014/main" id="{00000000-0008-0000-0500-00000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0541" name="Check Box 13" hidden="1">
              <a:extLst>
                <a:ext uri="{63B3BB69-23CF-44E3-9099-C40C66FF867C}">
                  <a14:compatExt spid="_x0000_s150541"/>
                </a:ext>
                <a:ext uri="{FF2B5EF4-FFF2-40B4-BE49-F238E27FC236}">
                  <a16:creationId xmlns:a16="http://schemas.microsoft.com/office/drawing/2014/main" id="{00000000-0008-0000-0500-00000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0542" name="Check Box 14" hidden="1">
              <a:extLst>
                <a:ext uri="{63B3BB69-23CF-44E3-9099-C40C66FF867C}">
                  <a14:compatExt spid="_x0000_s150542"/>
                </a:ext>
                <a:ext uri="{FF2B5EF4-FFF2-40B4-BE49-F238E27FC236}">
                  <a16:creationId xmlns:a16="http://schemas.microsoft.com/office/drawing/2014/main" id="{00000000-0008-0000-0500-00000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0543" name="Check Box 15" hidden="1">
              <a:extLst>
                <a:ext uri="{63B3BB69-23CF-44E3-9099-C40C66FF867C}">
                  <a14:compatExt spid="_x0000_s150543"/>
                </a:ext>
                <a:ext uri="{FF2B5EF4-FFF2-40B4-BE49-F238E27FC236}">
                  <a16:creationId xmlns:a16="http://schemas.microsoft.com/office/drawing/2014/main" id="{00000000-0008-0000-0500-00000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50544" name="Check Box 16" hidden="1">
              <a:extLst>
                <a:ext uri="{63B3BB69-23CF-44E3-9099-C40C66FF867C}">
                  <a14:compatExt spid="_x0000_s150544"/>
                </a:ext>
                <a:ext uri="{FF2B5EF4-FFF2-40B4-BE49-F238E27FC236}">
                  <a16:creationId xmlns:a16="http://schemas.microsoft.com/office/drawing/2014/main" id="{00000000-0008-0000-0500-000010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50545" name="Check Box 17" hidden="1">
              <a:extLst>
                <a:ext uri="{63B3BB69-23CF-44E3-9099-C40C66FF867C}">
                  <a14:compatExt spid="_x0000_s150545"/>
                </a:ext>
                <a:ext uri="{FF2B5EF4-FFF2-40B4-BE49-F238E27FC236}">
                  <a16:creationId xmlns:a16="http://schemas.microsoft.com/office/drawing/2014/main" id="{00000000-0008-0000-0500-00001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50546" name="Check Box 18" hidden="1">
              <a:extLst>
                <a:ext uri="{63B3BB69-23CF-44E3-9099-C40C66FF867C}">
                  <a14:compatExt spid="_x0000_s150546"/>
                </a:ext>
                <a:ext uri="{FF2B5EF4-FFF2-40B4-BE49-F238E27FC236}">
                  <a16:creationId xmlns:a16="http://schemas.microsoft.com/office/drawing/2014/main" id="{00000000-0008-0000-0500-00001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50547" name="Check Box 19" hidden="1">
              <a:extLst>
                <a:ext uri="{63B3BB69-23CF-44E3-9099-C40C66FF867C}">
                  <a14:compatExt spid="_x0000_s150547"/>
                </a:ext>
                <a:ext uri="{FF2B5EF4-FFF2-40B4-BE49-F238E27FC236}">
                  <a16:creationId xmlns:a16="http://schemas.microsoft.com/office/drawing/2014/main" id="{00000000-0008-0000-0500-00001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50548" name="Check Box 20" hidden="1">
              <a:extLst>
                <a:ext uri="{63B3BB69-23CF-44E3-9099-C40C66FF867C}">
                  <a14:compatExt spid="_x0000_s150548"/>
                </a:ext>
                <a:ext uri="{FF2B5EF4-FFF2-40B4-BE49-F238E27FC236}">
                  <a16:creationId xmlns:a16="http://schemas.microsoft.com/office/drawing/2014/main" id="{00000000-0008-0000-0500-00001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50549" name="Check Box 21" hidden="1">
              <a:extLst>
                <a:ext uri="{63B3BB69-23CF-44E3-9099-C40C66FF867C}">
                  <a14:compatExt spid="_x0000_s150549"/>
                </a:ext>
                <a:ext uri="{FF2B5EF4-FFF2-40B4-BE49-F238E27FC236}">
                  <a16:creationId xmlns:a16="http://schemas.microsoft.com/office/drawing/2014/main" id="{00000000-0008-0000-0500-00001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0565" name="Check Box 37" hidden="1">
              <a:extLst>
                <a:ext uri="{63B3BB69-23CF-44E3-9099-C40C66FF867C}">
                  <a14:compatExt spid="_x0000_s150565"/>
                </a:ext>
                <a:ext uri="{FF2B5EF4-FFF2-40B4-BE49-F238E27FC236}">
                  <a16:creationId xmlns:a16="http://schemas.microsoft.com/office/drawing/2014/main" id="{00000000-0008-0000-0500-00002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0566" name="Check Box 38" hidden="1">
              <a:extLst>
                <a:ext uri="{63B3BB69-23CF-44E3-9099-C40C66FF867C}">
                  <a14:compatExt spid="_x0000_s150566"/>
                </a:ext>
                <a:ext uri="{FF2B5EF4-FFF2-40B4-BE49-F238E27FC236}">
                  <a16:creationId xmlns:a16="http://schemas.microsoft.com/office/drawing/2014/main" id="{00000000-0008-0000-0500-00002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0567" name="Check Box 39" hidden="1">
              <a:extLst>
                <a:ext uri="{63B3BB69-23CF-44E3-9099-C40C66FF867C}">
                  <a14:compatExt spid="_x0000_s150567"/>
                </a:ext>
                <a:ext uri="{FF2B5EF4-FFF2-40B4-BE49-F238E27FC236}">
                  <a16:creationId xmlns:a16="http://schemas.microsoft.com/office/drawing/2014/main" id="{00000000-0008-0000-0500-00002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33" name="グループ化 32">
          <a:extLst>
            <a:ext uri="{FF2B5EF4-FFF2-40B4-BE49-F238E27FC236}">
              <a16:creationId xmlns:a16="http://schemas.microsoft.com/office/drawing/2014/main" id="{00000000-0008-0000-0500-000021000000}"/>
            </a:ext>
          </a:extLst>
        </xdr:cNvPr>
        <xdr:cNvGrpSpPr>
          <a:grpSpLocks/>
        </xdr:cNvGrpSpPr>
      </xdr:nvGrpSpPr>
      <xdr:grpSpPr bwMode="auto">
        <a:xfrm>
          <a:off x="424622" y="4438252"/>
          <a:ext cx="2041072" cy="3261472"/>
          <a:chOff x="82439" y="4201839"/>
          <a:chExt cx="2097800" cy="2940926"/>
        </a:xfrm>
        <a:noFill/>
      </xdr:grpSpPr>
      <xdr:sp macro="" textlink="">
        <xdr:nvSpPr>
          <xdr:cNvPr id="34" name="正方形/長方形 33">
            <a:extLst>
              <a:ext uri="{FF2B5EF4-FFF2-40B4-BE49-F238E27FC236}">
                <a16:creationId xmlns:a16="http://schemas.microsoft.com/office/drawing/2014/main" id="{00000000-0008-0000-0500-000022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35" name="Picture 1">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51553" name="Check Box 1" hidden="1">
              <a:extLst>
                <a:ext uri="{63B3BB69-23CF-44E3-9099-C40C66FF867C}">
                  <a14:compatExt spid="_x0000_s151553"/>
                </a:ext>
                <a:ext uri="{FF2B5EF4-FFF2-40B4-BE49-F238E27FC236}">
                  <a16:creationId xmlns:a16="http://schemas.microsoft.com/office/drawing/2014/main" id="{00000000-0008-0000-0600-00000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51554" name="Check Box 2" hidden="1">
              <a:extLst>
                <a:ext uri="{63B3BB69-23CF-44E3-9099-C40C66FF867C}">
                  <a14:compatExt spid="_x0000_s151554"/>
                </a:ext>
                <a:ext uri="{FF2B5EF4-FFF2-40B4-BE49-F238E27FC236}">
                  <a16:creationId xmlns:a16="http://schemas.microsoft.com/office/drawing/2014/main" id="{00000000-0008-0000-0600-00000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51555" name="Check Box 3" hidden="1">
              <a:extLst>
                <a:ext uri="{63B3BB69-23CF-44E3-9099-C40C66FF867C}">
                  <a14:compatExt spid="_x0000_s151555"/>
                </a:ext>
                <a:ext uri="{FF2B5EF4-FFF2-40B4-BE49-F238E27FC236}">
                  <a16:creationId xmlns:a16="http://schemas.microsoft.com/office/drawing/2014/main" id="{00000000-0008-0000-0600-00000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51556" name="Check Box 4" hidden="1">
              <a:extLst>
                <a:ext uri="{63B3BB69-23CF-44E3-9099-C40C66FF867C}">
                  <a14:compatExt spid="_x0000_s151556"/>
                </a:ext>
                <a:ext uri="{FF2B5EF4-FFF2-40B4-BE49-F238E27FC236}">
                  <a16:creationId xmlns:a16="http://schemas.microsoft.com/office/drawing/2014/main" id="{00000000-0008-0000-0600-00000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51557" name="Check Box 5" hidden="1">
              <a:extLst>
                <a:ext uri="{63B3BB69-23CF-44E3-9099-C40C66FF867C}">
                  <a14:compatExt spid="_x0000_s151557"/>
                </a:ext>
                <a:ext uri="{FF2B5EF4-FFF2-40B4-BE49-F238E27FC236}">
                  <a16:creationId xmlns:a16="http://schemas.microsoft.com/office/drawing/2014/main" id="{00000000-0008-0000-0600-00000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51558" name="Check Box 6" hidden="1">
              <a:extLst>
                <a:ext uri="{63B3BB69-23CF-44E3-9099-C40C66FF867C}">
                  <a14:compatExt spid="_x0000_s151558"/>
                </a:ext>
                <a:ext uri="{FF2B5EF4-FFF2-40B4-BE49-F238E27FC236}">
                  <a16:creationId xmlns:a16="http://schemas.microsoft.com/office/drawing/2014/main" id="{00000000-0008-0000-0600-00000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51559" name="Check Box 7" hidden="1">
              <a:extLst>
                <a:ext uri="{63B3BB69-23CF-44E3-9099-C40C66FF867C}">
                  <a14:compatExt spid="_x0000_s151559"/>
                </a:ext>
                <a:ext uri="{FF2B5EF4-FFF2-40B4-BE49-F238E27FC236}">
                  <a16:creationId xmlns:a16="http://schemas.microsoft.com/office/drawing/2014/main" id="{00000000-0008-0000-0600-00000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51560" name="Check Box 8" hidden="1">
              <a:extLst>
                <a:ext uri="{63B3BB69-23CF-44E3-9099-C40C66FF867C}">
                  <a14:compatExt spid="_x0000_s151560"/>
                </a:ext>
                <a:ext uri="{FF2B5EF4-FFF2-40B4-BE49-F238E27FC236}">
                  <a16:creationId xmlns:a16="http://schemas.microsoft.com/office/drawing/2014/main" id="{00000000-0008-0000-0600-00000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51561" name="Check Box 9" hidden="1">
              <a:extLst>
                <a:ext uri="{63B3BB69-23CF-44E3-9099-C40C66FF867C}">
                  <a14:compatExt spid="_x0000_s151561"/>
                </a:ext>
                <a:ext uri="{FF2B5EF4-FFF2-40B4-BE49-F238E27FC236}">
                  <a16:creationId xmlns:a16="http://schemas.microsoft.com/office/drawing/2014/main" id="{00000000-0008-0000-0600-00000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51562" name="Check Box 10" hidden="1">
              <a:extLst>
                <a:ext uri="{63B3BB69-23CF-44E3-9099-C40C66FF867C}">
                  <a14:compatExt spid="_x0000_s151562"/>
                </a:ext>
                <a:ext uri="{FF2B5EF4-FFF2-40B4-BE49-F238E27FC236}">
                  <a16:creationId xmlns:a16="http://schemas.microsoft.com/office/drawing/2014/main" id="{00000000-0008-0000-0600-00000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51563" name="Check Box 11" hidden="1">
              <a:extLst>
                <a:ext uri="{63B3BB69-23CF-44E3-9099-C40C66FF867C}">
                  <a14:compatExt spid="_x0000_s151563"/>
                </a:ext>
                <a:ext uri="{FF2B5EF4-FFF2-40B4-BE49-F238E27FC236}">
                  <a16:creationId xmlns:a16="http://schemas.microsoft.com/office/drawing/2014/main" id="{00000000-0008-0000-0600-00000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51564" name="Check Box 12" hidden="1">
              <a:extLst>
                <a:ext uri="{63B3BB69-23CF-44E3-9099-C40C66FF867C}">
                  <a14:compatExt spid="_x0000_s151564"/>
                </a:ext>
                <a:ext uri="{FF2B5EF4-FFF2-40B4-BE49-F238E27FC236}">
                  <a16:creationId xmlns:a16="http://schemas.microsoft.com/office/drawing/2014/main" id="{00000000-0008-0000-0600-00000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1565" name="Check Box 13" hidden="1">
              <a:extLst>
                <a:ext uri="{63B3BB69-23CF-44E3-9099-C40C66FF867C}">
                  <a14:compatExt spid="_x0000_s151565"/>
                </a:ext>
                <a:ext uri="{FF2B5EF4-FFF2-40B4-BE49-F238E27FC236}">
                  <a16:creationId xmlns:a16="http://schemas.microsoft.com/office/drawing/2014/main" id="{00000000-0008-0000-0600-00000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1566" name="Check Box 14" hidden="1">
              <a:extLst>
                <a:ext uri="{63B3BB69-23CF-44E3-9099-C40C66FF867C}">
                  <a14:compatExt spid="_x0000_s151566"/>
                </a:ext>
                <a:ext uri="{FF2B5EF4-FFF2-40B4-BE49-F238E27FC236}">
                  <a16:creationId xmlns:a16="http://schemas.microsoft.com/office/drawing/2014/main" id="{00000000-0008-0000-0600-00000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1567" name="Check Box 15" hidden="1">
              <a:extLst>
                <a:ext uri="{63B3BB69-23CF-44E3-9099-C40C66FF867C}">
                  <a14:compatExt spid="_x0000_s151567"/>
                </a:ext>
                <a:ext uri="{FF2B5EF4-FFF2-40B4-BE49-F238E27FC236}">
                  <a16:creationId xmlns:a16="http://schemas.microsoft.com/office/drawing/2014/main" id="{00000000-0008-0000-0600-00000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51568" name="Check Box 16" hidden="1">
              <a:extLst>
                <a:ext uri="{63B3BB69-23CF-44E3-9099-C40C66FF867C}">
                  <a14:compatExt spid="_x0000_s151568"/>
                </a:ext>
                <a:ext uri="{FF2B5EF4-FFF2-40B4-BE49-F238E27FC236}">
                  <a16:creationId xmlns:a16="http://schemas.microsoft.com/office/drawing/2014/main" id="{00000000-0008-0000-0600-000010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51569" name="Check Box 17" hidden="1">
              <a:extLst>
                <a:ext uri="{63B3BB69-23CF-44E3-9099-C40C66FF867C}">
                  <a14:compatExt spid="_x0000_s151569"/>
                </a:ext>
                <a:ext uri="{FF2B5EF4-FFF2-40B4-BE49-F238E27FC236}">
                  <a16:creationId xmlns:a16="http://schemas.microsoft.com/office/drawing/2014/main" id="{00000000-0008-0000-0600-00001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51570" name="Check Box 18" hidden="1">
              <a:extLst>
                <a:ext uri="{63B3BB69-23CF-44E3-9099-C40C66FF867C}">
                  <a14:compatExt spid="_x0000_s151570"/>
                </a:ext>
                <a:ext uri="{FF2B5EF4-FFF2-40B4-BE49-F238E27FC236}">
                  <a16:creationId xmlns:a16="http://schemas.microsoft.com/office/drawing/2014/main" id="{00000000-0008-0000-0600-00001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51571" name="Check Box 19" hidden="1">
              <a:extLst>
                <a:ext uri="{63B3BB69-23CF-44E3-9099-C40C66FF867C}">
                  <a14:compatExt spid="_x0000_s151571"/>
                </a:ext>
                <a:ext uri="{FF2B5EF4-FFF2-40B4-BE49-F238E27FC236}">
                  <a16:creationId xmlns:a16="http://schemas.microsoft.com/office/drawing/2014/main" id="{00000000-0008-0000-0600-00001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51572" name="Check Box 20" hidden="1">
              <a:extLst>
                <a:ext uri="{63B3BB69-23CF-44E3-9099-C40C66FF867C}">
                  <a14:compatExt spid="_x0000_s151572"/>
                </a:ext>
                <a:ext uri="{FF2B5EF4-FFF2-40B4-BE49-F238E27FC236}">
                  <a16:creationId xmlns:a16="http://schemas.microsoft.com/office/drawing/2014/main" id="{00000000-0008-0000-0600-00001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51573" name="Check Box 21" hidden="1">
              <a:extLst>
                <a:ext uri="{63B3BB69-23CF-44E3-9099-C40C66FF867C}">
                  <a14:compatExt spid="_x0000_s151573"/>
                </a:ext>
                <a:ext uri="{FF2B5EF4-FFF2-40B4-BE49-F238E27FC236}">
                  <a16:creationId xmlns:a16="http://schemas.microsoft.com/office/drawing/2014/main" id="{00000000-0008-0000-0600-00001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1589" name="Check Box 37" hidden="1">
              <a:extLst>
                <a:ext uri="{63B3BB69-23CF-44E3-9099-C40C66FF867C}">
                  <a14:compatExt spid="_x0000_s151589"/>
                </a:ext>
                <a:ext uri="{FF2B5EF4-FFF2-40B4-BE49-F238E27FC236}">
                  <a16:creationId xmlns:a16="http://schemas.microsoft.com/office/drawing/2014/main" id="{00000000-0008-0000-0600-00002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1590" name="Check Box 38" hidden="1">
              <a:extLst>
                <a:ext uri="{63B3BB69-23CF-44E3-9099-C40C66FF867C}">
                  <a14:compatExt spid="_x0000_s151590"/>
                </a:ext>
                <a:ext uri="{FF2B5EF4-FFF2-40B4-BE49-F238E27FC236}">
                  <a16:creationId xmlns:a16="http://schemas.microsoft.com/office/drawing/2014/main" id="{00000000-0008-0000-0600-00002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1591" name="Check Box 39" hidden="1">
              <a:extLst>
                <a:ext uri="{63B3BB69-23CF-44E3-9099-C40C66FF867C}">
                  <a14:compatExt spid="_x0000_s151591"/>
                </a:ext>
                <a:ext uri="{FF2B5EF4-FFF2-40B4-BE49-F238E27FC236}">
                  <a16:creationId xmlns:a16="http://schemas.microsoft.com/office/drawing/2014/main" id="{00000000-0008-0000-0600-00002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33" name="グループ化 32">
          <a:extLst>
            <a:ext uri="{FF2B5EF4-FFF2-40B4-BE49-F238E27FC236}">
              <a16:creationId xmlns:a16="http://schemas.microsoft.com/office/drawing/2014/main" id="{00000000-0008-0000-0600-000021000000}"/>
            </a:ext>
          </a:extLst>
        </xdr:cNvPr>
        <xdr:cNvGrpSpPr>
          <a:grpSpLocks/>
        </xdr:cNvGrpSpPr>
      </xdr:nvGrpSpPr>
      <xdr:grpSpPr bwMode="auto">
        <a:xfrm>
          <a:off x="424622" y="4438252"/>
          <a:ext cx="2041072" cy="3261472"/>
          <a:chOff x="82439" y="4201839"/>
          <a:chExt cx="2097800" cy="2940926"/>
        </a:xfrm>
        <a:noFill/>
      </xdr:grpSpPr>
      <xdr:sp macro="" textlink="">
        <xdr:nvSpPr>
          <xdr:cNvPr id="34" name="正方形/長方形 33">
            <a:extLst>
              <a:ext uri="{FF2B5EF4-FFF2-40B4-BE49-F238E27FC236}">
                <a16:creationId xmlns:a16="http://schemas.microsoft.com/office/drawing/2014/main" id="{00000000-0008-0000-0600-000022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35" name="Picture 1">
            <a:extLst>
              <a:ext uri="{FF2B5EF4-FFF2-40B4-BE49-F238E27FC236}">
                <a16:creationId xmlns:a16="http://schemas.microsoft.com/office/drawing/2014/main" id="{00000000-0008-0000-06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52577" name="Check Box 1" hidden="1">
              <a:extLst>
                <a:ext uri="{63B3BB69-23CF-44E3-9099-C40C66FF867C}">
                  <a14:compatExt spid="_x0000_s152577"/>
                </a:ext>
                <a:ext uri="{FF2B5EF4-FFF2-40B4-BE49-F238E27FC236}">
                  <a16:creationId xmlns:a16="http://schemas.microsoft.com/office/drawing/2014/main" id="{00000000-0008-0000-0700-000001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52578" name="Check Box 2" hidden="1">
              <a:extLst>
                <a:ext uri="{63B3BB69-23CF-44E3-9099-C40C66FF867C}">
                  <a14:compatExt spid="_x0000_s152578"/>
                </a:ext>
                <a:ext uri="{FF2B5EF4-FFF2-40B4-BE49-F238E27FC236}">
                  <a16:creationId xmlns:a16="http://schemas.microsoft.com/office/drawing/2014/main" id="{00000000-0008-0000-0700-000002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52579" name="Check Box 3" hidden="1">
              <a:extLst>
                <a:ext uri="{63B3BB69-23CF-44E3-9099-C40C66FF867C}">
                  <a14:compatExt spid="_x0000_s152579"/>
                </a:ext>
                <a:ext uri="{FF2B5EF4-FFF2-40B4-BE49-F238E27FC236}">
                  <a16:creationId xmlns:a16="http://schemas.microsoft.com/office/drawing/2014/main" id="{00000000-0008-0000-0700-000003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52580" name="Check Box 4" hidden="1">
              <a:extLst>
                <a:ext uri="{63B3BB69-23CF-44E3-9099-C40C66FF867C}">
                  <a14:compatExt spid="_x0000_s152580"/>
                </a:ext>
                <a:ext uri="{FF2B5EF4-FFF2-40B4-BE49-F238E27FC236}">
                  <a16:creationId xmlns:a16="http://schemas.microsoft.com/office/drawing/2014/main" id="{00000000-0008-0000-0700-000004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52581" name="Check Box 5" hidden="1">
              <a:extLst>
                <a:ext uri="{63B3BB69-23CF-44E3-9099-C40C66FF867C}">
                  <a14:compatExt spid="_x0000_s152581"/>
                </a:ext>
                <a:ext uri="{FF2B5EF4-FFF2-40B4-BE49-F238E27FC236}">
                  <a16:creationId xmlns:a16="http://schemas.microsoft.com/office/drawing/2014/main" id="{00000000-0008-0000-0700-000005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52582" name="Check Box 6" hidden="1">
              <a:extLst>
                <a:ext uri="{63B3BB69-23CF-44E3-9099-C40C66FF867C}">
                  <a14:compatExt spid="_x0000_s152582"/>
                </a:ext>
                <a:ext uri="{FF2B5EF4-FFF2-40B4-BE49-F238E27FC236}">
                  <a16:creationId xmlns:a16="http://schemas.microsoft.com/office/drawing/2014/main" id="{00000000-0008-0000-0700-000006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52583" name="Check Box 7" hidden="1">
              <a:extLst>
                <a:ext uri="{63B3BB69-23CF-44E3-9099-C40C66FF867C}">
                  <a14:compatExt spid="_x0000_s152583"/>
                </a:ext>
                <a:ext uri="{FF2B5EF4-FFF2-40B4-BE49-F238E27FC236}">
                  <a16:creationId xmlns:a16="http://schemas.microsoft.com/office/drawing/2014/main" id="{00000000-0008-0000-0700-000007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52584" name="Check Box 8" hidden="1">
              <a:extLst>
                <a:ext uri="{63B3BB69-23CF-44E3-9099-C40C66FF867C}">
                  <a14:compatExt spid="_x0000_s152584"/>
                </a:ext>
                <a:ext uri="{FF2B5EF4-FFF2-40B4-BE49-F238E27FC236}">
                  <a16:creationId xmlns:a16="http://schemas.microsoft.com/office/drawing/2014/main" id="{00000000-0008-0000-0700-000008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52585" name="Check Box 9" hidden="1">
              <a:extLst>
                <a:ext uri="{63B3BB69-23CF-44E3-9099-C40C66FF867C}">
                  <a14:compatExt spid="_x0000_s152585"/>
                </a:ext>
                <a:ext uri="{FF2B5EF4-FFF2-40B4-BE49-F238E27FC236}">
                  <a16:creationId xmlns:a16="http://schemas.microsoft.com/office/drawing/2014/main" id="{00000000-0008-0000-0700-000009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52586" name="Check Box 10" hidden="1">
              <a:extLst>
                <a:ext uri="{63B3BB69-23CF-44E3-9099-C40C66FF867C}">
                  <a14:compatExt spid="_x0000_s152586"/>
                </a:ext>
                <a:ext uri="{FF2B5EF4-FFF2-40B4-BE49-F238E27FC236}">
                  <a16:creationId xmlns:a16="http://schemas.microsoft.com/office/drawing/2014/main" id="{00000000-0008-0000-0700-00000A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52587" name="Check Box 11" hidden="1">
              <a:extLst>
                <a:ext uri="{63B3BB69-23CF-44E3-9099-C40C66FF867C}">
                  <a14:compatExt spid="_x0000_s152587"/>
                </a:ext>
                <a:ext uri="{FF2B5EF4-FFF2-40B4-BE49-F238E27FC236}">
                  <a16:creationId xmlns:a16="http://schemas.microsoft.com/office/drawing/2014/main" id="{00000000-0008-0000-0700-00000B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52588" name="Check Box 12" hidden="1">
              <a:extLst>
                <a:ext uri="{63B3BB69-23CF-44E3-9099-C40C66FF867C}">
                  <a14:compatExt spid="_x0000_s152588"/>
                </a:ext>
                <a:ext uri="{FF2B5EF4-FFF2-40B4-BE49-F238E27FC236}">
                  <a16:creationId xmlns:a16="http://schemas.microsoft.com/office/drawing/2014/main" id="{00000000-0008-0000-0700-00000C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2589" name="Check Box 13" hidden="1">
              <a:extLst>
                <a:ext uri="{63B3BB69-23CF-44E3-9099-C40C66FF867C}">
                  <a14:compatExt spid="_x0000_s152589"/>
                </a:ext>
                <a:ext uri="{FF2B5EF4-FFF2-40B4-BE49-F238E27FC236}">
                  <a16:creationId xmlns:a16="http://schemas.microsoft.com/office/drawing/2014/main" id="{00000000-0008-0000-0700-00000D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2590" name="Check Box 14" hidden="1">
              <a:extLst>
                <a:ext uri="{63B3BB69-23CF-44E3-9099-C40C66FF867C}">
                  <a14:compatExt spid="_x0000_s152590"/>
                </a:ext>
                <a:ext uri="{FF2B5EF4-FFF2-40B4-BE49-F238E27FC236}">
                  <a16:creationId xmlns:a16="http://schemas.microsoft.com/office/drawing/2014/main" id="{00000000-0008-0000-0700-00000E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2591" name="Check Box 15" hidden="1">
              <a:extLst>
                <a:ext uri="{63B3BB69-23CF-44E3-9099-C40C66FF867C}">
                  <a14:compatExt spid="_x0000_s152591"/>
                </a:ext>
                <a:ext uri="{FF2B5EF4-FFF2-40B4-BE49-F238E27FC236}">
                  <a16:creationId xmlns:a16="http://schemas.microsoft.com/office/drawing/2014/main" id="{00000000-0008-0000-0700-00000F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52592" name="Check Box 16" hidden="1">
              <a:extLst>
                <a:ext uri="{63B3BB69-23CF-44E3-9099-C40C66FF867C}">
                  <a14:compatExt spid="_x0000_s152592"/>
                </a:ext>
                <a:ext uri="{FF2B5EF4-FFF2-40B4-BE49-F238E27FC236}">
                  <a16:creationId xmlns:a16="http://schemas.microsoft.com/office/drawing/2014/main" id="{00000000-0008-0000-0700-000010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52593" name="Check Box 17" hidden="1">
              <a:extLst>
                <a:ext uri="{63B3BB69-23CF-44E3-9099-C40C66FF867C}">
                  <a14:compatExt spid="_x0000_s152593"/>
                </a:ext>
                <a:ext uri="{FF2B5EF4-FFF2-40B4-BE49-F238E27FC236}">
                  <a16:creationId xmlns:a16="http://schemas.microsoft.com/office/drawing/2014/main" id="{00000000-0008-0000-0700-000011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52594" name="Check Box 18" hidden="1">
              <a:extLst>
                <a:ext uri="{63B3BB69-23CF-44E3-9099-C40C66FF867C}">
                  <a14:compatExt spid="_x0000_s152594"/>
                </a:ext>
                <a:ext uri="{FF2B5EF4-FFF2-40B4-BE49-F238E27FC236}">
                  <a16:creationId xmlns:a16="http://schemas.microsoft.com/office/drawing/2014/main" id="{00000000-0008-0000-0700-000012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52595" name="Check Box 19" hidden="1">
              <a:extLst>
                <a:ext uri="{63B3BB69-23CF-44E3-9099-C40C66FF867C}">
                  <a14:compatExt spid="_x0000_s152595"/>
                </a:ext>
                <a:ext uri="{FF2B5EF4-FFF2-40B4-BE49-F238E27FC236}">
                  <a16:creationId xmlns:a16="http://schemas.microsoft.com/office/drawing/2014/main" id="{00000000-0008-0000-0700-000013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52596" name="Check Box 20" hidden="1">
              <a:extLst>
                <a:ext uri="{63B3BB69-23CF-44E3-9099-C40C66FF867C}">
                  <a14:compatExt spid="_x0000_s152596"/>
                </a:ext>
                <a:ext uri="{FF2B5EF4-FFF2-40B4-BE49-F238E27FC236}">
                  <a16:creationId xmlns:a16="http://schemas.microsoft.com/office/drawing/2014/main" id="{00000000-0008-0000-0700-000014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52597" name="Check Box 21" hidden="1">
              <a:extLst>
                <a:ext uri="{63B3BB69-23CF-44E3-9099-C40C66FF867C}">
                  <a14:compatExt spid="_x0000_s152597"/>
                </a:ext>
                <a:ext uri="{FF2B5EF4-FFF2-40B4-BE49-F238E27FC236}">
                  <a16:creationId xmlns:a16="http://schemas.microsoft.com/office/drawing/2014/main" id="{00000000-0008-0000-0700-000015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2612" name="Check Box 36" hidden="1">
              <a:extLst>
                <a:ext uri="{63B3BB69-23CF-44E3-9099-C40C66FF867C}">
                  <a14:compatExt spid="_x0000_s152612"/>
                </a:ext>
                <a:ext uri="{FF2B5EF4-FFF2-40B4-BE49-F238E27FC236}">
                  <a16:creationId xmlns:a16="http://schemas.microsoft.com/office/drawing/2014/main" id="{00000000-0008-0000-0700-000024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2613" name="Check Box 37" hidden="1">
              <a:extLst>
                <a:ext uri="{63B3BB69-23CF-44E3-9099-C40C66FF867C}">
                  <a14:compatExt spid="_x0000_s152613"/>
                </a:ext>
                <a:ext uri="{FF2B5EF4-FFF2-40B4-BE49-F238E27FC236}">
                  <a16:creationId xmlns:a16="http://schemas.microsoft.com/office/drawing/2014/main" id="{00000000-0008-0000-0700-000025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2614" name="Check Box 38" hidden="1">
              <a:extLst>
                <a:ext uri="{63B3BB69-23CF-44E3-9099-C40C66FF867C}">
                  <a14:compatExt spid="_x0000_s152614"/>
                </a:ext>
                <a:ext uri="{FF2B5EF4-FFF2-40B4-BE49-F238E27FC236}">
                  <a16:creationId xmlns:a16="http://schemas.microsoft.com/office/drawing/2014/main" id="{00000000-0008-0000-0700-000026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33" name="グループ化 32">
          <a:extLst>
            <a:ext uri="{FF2B5EF4-FFF2-40B4-BE49-F238E27FC236}">
              <a16:creationId xmlns:a16="http://schemas.microsoft.com/office/drawing/2014/main" id="{00000000-0008-0000-0700-000021000000}"/>
            </a:ext>
          </a:extLst>
        </xdr:cNvPr>
        <xdr:cNvGrpSpPr>
          <a:grpSpLocks/>
        </xdr:cNvGrpSpPr>
      </xdr:nvGrpSpPr>
      <xdr:grpSpPr bwMode="auto">
        <a:xfrm>
          <a:off x="424622" y="4438252"/>
          <a:ext cx="2041072" cy="3261472"/>
          <a:chOff x="82439" y="4201839"/>
          <a:chExt cx="2097800" cy="2940926"/>
        </a:xfrm>
        <a:noFill/>
      </xdr:grpSpPr>
      <xdr:sp macro="" textlink="">
        <xdr:nvSpPr>
          <xdr:cNvPr id="34" name="正方形/長方形 33">
            <a:extLst>
              <a:ext uri="{FF2B5EF4-FFF2-40B4-BE49-F238E27FC236}">
                <a16:creationId xmlns:a16="http://schemas.microsoft.com/office/drawing/2014/main" id="{00000000-0008-0000-0700-000022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35" name="Picture 1">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7</xdr:row>
          <xdr:rowOff>47625</xdr:rowOff>
        </xdr:from>
        <xdr:to>
          <xdr:col>18</xdr:col>
          <xdr:colOff>200025</xdr:colOff>
          <xdr:row>7</xdr:row>
          <xdr:rowOff>257175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0800-000001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47625</xdr:rowOff>
        </xdr:from>
        <xdr:to>
          <xdr:col>18</xdr:col>
          <xdr:colOff>200025</xdr:colOff>
          <xdr:row>8</xdr:row>
          <xdr:rowOff>257175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0800-000002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47625</xdr:rowOff>
        </xdr:from>
        <xdr:to>
          <xdr:col>18</xdr:col>
          <xdr:colOff>200025</xdr:colOff>
          <xdr:row>11</xdr:row>
          <xdr:rowOff>257175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0800-000003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38100</xdr:rowOff>
        </xdr:from>
        <xdr:to>
          <xdr:col>18</xdr:col>
          <xdr:colOff>200025</xdr:colOff>
          <xdr:row>12</xdr:row>
          <xdr:rowOff>247650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0800-000004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47625</xdr:rowOff>
        </xdr:from>
        <xdr:to>
          <xdr:col>18</xdr:col>
          <xdr:colOff>200025</xdr:colOff>
          <xdr:row>13</xdr:row>
          <xdr:rowOff>257175</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0800-000005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47625</xdr:rowOff>
        </xdr:from>
        <xdr:to>
          <xdr:col>24</xdr:col>
          <xdr:colOff>200025</xdr:colOff>
          <xdr:row>28</xdr:row>
          <xdr:rowOff>257175</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0800-000006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47625</xdr:rowOff>
        </xdr:from>
        <xdr:to>
          <xdr:col>24</xdr:col>
          <xdr:colOff>200025</xdr:colOff>
          <xdr:row>29</xdr:row>
          <xdr:rowOff>257175</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0800-000007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38100</xdr:rowOff>
        </xdr:from>
        <xdr:to>
          <xdr:col>24</xdr:col>
          <xdr:colOff>200025</xdr:colOff>
          <xdr:row>32</xdr:row>
          <xdr:rowOff>247650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0800-000008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47625</xdr:rowOff>
        </xdr:from>
        <xdr:to>
          <xdr:col>18</xdr:col>
          <xdr:colOff>200025</xdr:colOff>
          <xdr:row>9</xdr:row>
          <xdr:rowOff>257175</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0800-000009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47625</xdr:rowOff>
        </xdr:from>
        <xdr:to>
          <xdr:col>18</xdr:col>
          <xdr:colOff>200025</xdr:colOff>
          <xdr:row>10</xdr:row>
          <xdr:rowOff>257175</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0800-00000A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47625</xdr:rowOff>
        </xdr:from>
        <xdr:to>
          <xdr:col>24</xdr:col>
          <xdr:colOff>200025</xdr:colOff>
          <xdr:row>30</xdr:row>
          <xdr:rowOff>257175</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0800-00000B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47625</xdr:rowOff>
        </xdr:from>
        <xdr:to>
          <xdr:col>24</xdr:col>
          <xdr:colOff>200025</xdr:colOff>
          <xdr:row>31</xdr:row>
          <xdr:rowOff>257175</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0800-00000C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3613" name="Check Box 13" hidden="1">
              <a:extLst>
                <a:ext uri="{63B3BB69-23CF-44E3-9099-C40C66FF867C}">
                  <a14:compatExt spid="_x0000_s153613"/>
                </a:ext>
                <a:ext uri="{FF2B5EF4-FFF2-40B4-BE49-F238E27FC236}">
                  <a16:creationId xmlns:a16="http://schemas.microsoft.com/office/drawing/2014/main" id="{00000000-0008-0000-0800-00000D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3614" name="Check Box 14" hidden="1">
              <a:extLst>
                <a:ext uri="{63B3BB69-23CF-44E3-9099-C40C66FF867C}">
                  <a14:compatExt spid="_x0000_s153614"/>
                </a:ext>
                <a:ext uri="{FF2B5EF4-FFF2-40B4-BE49-F238E27FC236}">
                  <a16:creationId xmlns:a16="http://schemas.microsoft.com/office/drawing/2014/main" id="{00000000-0008-0000-0800-00000E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3615" name="Check Box 15" hidden="1">
              <a:extLst>
                <a:ext uri="{63B3BB69-23CF-44E3-9099-C40C66FF867C}">
                  <a14:compatExt spid="_x0000_s153615"/>
                </a:ext>
                <a:ext uri="{FF2B5EF4-FFF2-40B4-BE49-F238E27FC236}">
                  <a16:creationId xmlns:a16="http://schemas.microsoft.com/office/drawing/2014/main" id="{00000000-0008-0000-0800-00000F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10</xdr:col>
          <xdr:colOff>200025</xdr:colOff>
          <xdr:row>8</xdr:row>
          <xdr:rowOff>257175</xdr:rowOff>
        </xdr:to>
        <xdr:sp macro="" textlink="">
          <xdr:nvSpPr>
            <xdr:cNvPr id="153616" name="Check Box 16" hidden="1">
              <a:extLst>
                <a:ext uri="{63B3BB69-23CF-44E3-9099-C40C66FF867C}">
                  <a14:compatExt spid="_x0000_s153616"/>
                </a:ext>
                <a:ext uri="{FF2B5EF4-FFF2-40B4-BE49-F238E27FC236}">
                  <a16:creationId xmlns:a16="http://schemas.microsoft.com/office/drawing/2014/main" id="{00000000-0008-0000-0800-000010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xdr:row>
          <xdr:rowOff>47625</xdr:rowOff>
        </xdr:from>
        <xdr:to>
          <xdr:col>10</xdr:col>
          <xdr:colOff>200025</xdr:colOff>
          <xdr:row>9</xdr:row>
          <xdr:rowOff>257175</xdr:rowOff>
        </xdr:to>
        <xdr:sp macro="" textlink="">
          <xdr:nvSpPr>
            <xdr:cNvPr id="153617" name="Check Box 17" hidden="1">
              <a:extLst>
                <a:ext uri="{63B3BB69-23CF-44E3-9099-C40C66FF867C}">
                  <a14:compatExt spid="_x0000_s153617"/>
                </a:ext>
                <a:ext uri="{FF2B5EF4-FFF2-40B4-BE49-F238E27FC236}">
                  <a16:creationId xmlns:a16="http://schemas.microsoft.com/office/drawing/2014/main" id="{00000000-0008-0000-0800-000011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47625</xdr:rowOff>
        </xdr:from>
        <xdr:to>
          <xdr:col>10</xdr:col>
          <xdr:colOff>200025</xdr:colOff>
          <xdr:row>10</xdr:row>
          <xdr:rowOff>257175</xdr:rowOff>
        </xdr:to>
        <xdr:sp macro="" textlink="">
          <xdr:nvSpPr>
            <xdr:cNvPr id="153618" name="Check Box 18" hidden="1">
              <a:extLst>
                <a:ext uri="{63B3BB69-23CF-44E3-9099-C40C66FF867C}">
                  <a14:compatExt spid="_x0000_s153618"/>
                </a:ext>
                <a:ext uri="{FF2B5EF4-FFF2-40B4-BE49-F238E27FC236}">
                  <a16:creationId xmlns:a16="http://schemas.microsoft.com/office/drawing/2014/main" id="{00000000-0008-0000-0800-000012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38100</xdr:rowOff>
        </xdr:from>
        <xdr:to>
          <xdr:col>10</xdr:col>
          <xdr:colOff>200025</xdr:colOff>
          <xdr:row>13</xdr:row>
          <xdr:rowOff>247650</xdr:rowOff>
        </xdr:to>
        <xdr:sp macro="" textlink="">
          <xdr:nvSpPr>
            <xdr:cNvPr id="153619" name="Check Box 19" hidden="1">
              <a:extLst>
                <a:ext uri="{63B3BB69-23CF-44E3-9099-C40C66FF867C}">
                  <a14:compatExt spid="_x0000_s153619"/>
                </a:ext>
                <a:ext uri="{FF2B5EF4-FFF2-40B4-BE49-F238E27FC236}">
                  <a16:creationId xmlns:a16="http://schemas.microsoft.com/office/drawing/2014/main" id="{00000000-0008-0000-0800-000013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47625</xdr:rowOff>
        </xdr:from>
        <xdr:to>
          <xdr:col>10</xdr:col>
          <xdr:colOff>200025</xdr:colOff>
          <xdr:row>11</xdr:row>
          <xdr:rowOff>257175</xdr:rowOff>
        </xdr:to>
        <xdr:sp macro="" textlink="">
          <xdr:nvSpPr>
            <xdr:cNvPr id="153620" name="Check Box 20" hidden="1">
              <a:extLst>
                <a:ext uri="{63B3BB69-23CF-44E3-9099-C40C66FF867C}">
                  <a14:compatExt spid="_x0000_s153620"/>
                </a:ext>
                <a:ext uri="{FF2B5EF4-FFF2-40B4-BE49-F238E27FC236}">
                  <a16:creationId xmlns:a16="http://schemas.microsoft.com/office/drawing/2014/main" id="{00000000-0008-0000-0800-000014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47625</xdr:rowOff>
        </xdr:from>
        <xdr:to>
          <xdr:col>10</xdr:col>
          <xdr:colOff>200025</xdr:colOff>
          <xdr:row>12</xdr:row>
          <xdr:rowOff>257175</xdr:rowOff>
        </xdr:to>
        <xdr:sp macro="" textlink="">
          <xdr:nvSpPr>
            <xdr:cNvPr id="153621" name="Check Box 21" hidden="1">
              <a:extLst>
                <a:ext uri="{63B3BB69-23CF-44E3-9099-C40C66FF867C}">
                  <a14:compatExt spid="_x0000_s153621"/>
                </a:ext>
                <a:ext uri="{FF2B5EF4-FFF2-40B4-BE49-F238E27FC236}">
                  <a16:creationId xmlns:a16="http://schemas.microsoft.com/office/drawing/2014/main" id="{00000000-0008-0000-0800-000015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47625</xdr:rowOff>
        </xdr:from>
        <xdr:to>
          <xdr:col>10</xdr:col>
          <xdr:colOff>200025</xdr:colOff>
          <xdr:row>7</xdr:row>
          <xdr:rowOff>257175</xdr:rowOff>
        </xdr:to>
        <xdr:sp macro="" textlink="">
          <xdr:nvSpPr>
            <xdr:cNvPr id="153636" name="Check Box 36" hidden="1">
              <a:extLst>
                <a:ext uri="{63B3BB69-23CF-44E3-9099-C40C66FF867C}">
                  <a14:compatExt spid="_x0000_s153636"/>
                </a:ext>
                <a:ext uri="{FF2B5EF4-FFF2-40B4-BE49-F238E27FC236}">
                  <a16:creationId xmlns:a16="http://schemas.microsoft.com/office/drawing/2014/main" id="{00000000-0008-0000-0800-000024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47625</xdr:rowOff>
        </xdr:from>
        <xdr:to>
          <xdr:col>24</xdr:col>
          <xdr:colOff>200025</xdr:colOff>
          <xdr:row>20</xdr:row>
          <xdr:rowOff>257175</xdr:rowOff>
        </xdr:to>
        <xdr:sp macro="" textlink="">
          <xdr:nvSpPr>
            <xdr:cNvPr id="153637" name="Check Box 37" hidden="1">
              <a:extLst>
                <a:ext uri="{63B3BB69-23CF-44E3-9099-C40C66FF867C}">
                  <a14:compatExt spid="_x0000_s153637"/>
                </a:ext>
                <a:ext uri="{FF2B5EF4-FFF2-40B4-BE49-F238E27FC236}">
                  <a16:creationId xmlns:a16="http://schemas.microsoft.com/office/drawing/2014/main" id="{00000000-0008-0000-0800-000025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47625</xdr:rowOff>
        </xdr:from>
        <xdr:to>
          <xdr:col>24</xdr:col>
          <xdr:colOff>200025</xdr:colOff>
          <xdr:row>21</xdr:row>
          <xdr:rowOff>257175</xdr:rowOff>
        </xdr:to>
        <xdr:sp macro="" textlink="">
          <xdr:nvSpPr>
            <xdr:cNvPr id="153638" name="Check Box 38" hidden="1">
              <a:extLst>
                <a:ext uri="{63B3BB69-23CF-44E3-9099-C40C66FF867C}">
                  <a14:compatExt spid="_x0000_s153638"/>
                </a:ext>
                <a:ext uri="{FF2B5EF4-FFF2-40B4-BE49-F238E27FC236}">
                  <a16:creationId xmlns:a16="http://schemas.microsoft.com/office/drawing/2014/main" id="{00000000-0008-0000-0800-000026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62672</xdr:colOff>
      <xdr:row>16</xdr:row>
      <xdr:rowOff>94852</xdr:rowOff>
    </xdr:from>
    <xdr:to>
      <xdr:col>9</xdr:col>
      <xdr:colOff>36819</xdr:colOff>
      <xdr:row>28</xdr:row>
      <xdr:rowOff>41624</xdr:rowOff>
    </xdr:to>
    <xdr:grpSp>
      <xdr:nvGrpSpPr>
        <xdr:cNvPr id="33" name="グループ化 32">
          <a:extLst>
            <a:ext uri="{FF2B5EF4-FFF2-40B4-BE49-F238E27FC236}">
              <a16:creationId xmlns:a16="http://schemas.microsoft.com/office/drawing/2014/main" id="{00000000-0008-0000-0800-000021000000}"/>
            </a:ext>
          </a:extLst>
        </xdr:cNvPr>
        <xdr:cNvGrpSpPr>
          <a:grpSpLocks/>
        </xdr:cNvGrpSpPr>
      </xdr:nvGrpSpPr>
      <xdr:grpSpPr bwMode="auto">
        <a:xfrm>
          <a:off x="424622" y="4438252"/>
          <a:ext cx="2041072" cy="3261472"/>
          <a:chOff x="82439" y="4201839"/>
          <a:chExt cx="2097800" cy="2940926"/>
        </a:xfrm>
        <a:noFill/>
      </xdr:grpSpPr>
      <xdr:sp macro="" textlink="">
        <xdr:nvSpPr>
          <xdr:cNvPr id="34" name="正方形/長方形 33">
            <a:extLst>
              <a:ext uri="{FF2B5EF4-FFF2-40B4-BE49-F238E27FC236}">
                <a16:creationId xmlns:a16="http://schemas.microsoft.com/office/drawing/2014/main" id="{00000000-0008-0000-0800-000022000000}"/>
              </a:ext>
            </a:extLst>
          </xdr:cNvPr>
          <xdr:cNvSpPr>
            <a:spLocks noChangeArrowheads="1"/>
          </xdr:cNvSpPr>
        </xdr:nvSpPr>
        <xdr:spPr bwMode="auto">
          <a:xfrm>
            <a:off x="82439" y="4201839"/>
            <a:ext cx="2097800" cy="2940926"/>
          </a:xfrm>
          <a:prstGeom prst="rect">
            <a:avLst/>
          </a:prstGeom>
          <a:grpFill/>
          <a:ln w="9525" algn="ctr">
            <a:noFill/>
            <a:round/>
            <a:headEnd/>
            <a:tailEnd/>
          </a:ln>
        </xdr:spPr>
        <xdr:txBody>
          <a:bodyPr/>
          <a:lstStyle/>
          <a:p>
            <a:endParaRPr lang="ja-JP" altLang="en-US"/>
          </a:p>
        </xdr:txBody>
      </xdr:sp>
      <xdr:pic>
        <xdr:nvPicPr>
          <xdr:cNvPr id="35" name="Picture 1">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3587" y="4522749"/>
            <a:ext cx="1611491" cy="2093863"/>
          </a:xfrm>
          <a:prstGeom prst="rect">
            <a:avLst/>
          </a:prstGeom>
          <a:grpFill/>
          <a:ln w="9525">
            <a:noFill/>
            <a:miter lim="800000"/>
            <a:headEnd/>
            <a:tailEnd/>
          </a:ln>
        </xdr:spPr>
      </xdr:pic>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306062" y="6739317"/>
            <a:ext cx="1320443" cy="28666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日除け寸法の取り方</a:t>
            </a:r>
            <a:endParaRPr kumimoji="1" lang="en-US" altLang="ja-JP" sz="900"/>
          </a:p>
          <a:p>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5/Desktop/2021.09.06_&#22522;&#30990;&#21839;&#38988;/&#22522;&#30990;&#21839;&#389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旧"/>
      <sheetName val="新"/>
      <sheetName val="提案1"/>
      <sheetName val="案1"/>
      <sheetName val="案2"/>
      <sheetName val="案3"/>
      <sheetName val="【参考】計算式の変遷"/>
    </sheetNames>
    <sheetDataSet>
      <sheetData sheetId="0" refreshError="1"/>
      <sheetData sheetId="1">
        <row r="35">
          <cell r="AE35" t="str">
            <v>南</v>
          </cell>
        </row>
        <row r="36">
          <cell r="AE36" t="str">
            <v>東</v>
          </cell>
        </row>
        <row r="37">
          <cell r="AE37" t="str">
            <v>北</v>
          </cell>
        </row>
        <row r="38">
          <cell r="AE38" t="str">
            <v>西</v>
          </cell>
        </row>
        <row r="39">
          <cell r="AE39" t="str">
            <v>南東</v>
          </cell>
        </row>
        <row r="40">
          <cell r="AE40" t="str">
            <v>北東</v>
          </cell>
        </row>
        <row r="41">
          <cell r="AE41" t="str">
            <v>北西</v>
          </cell>
        </row>
        <row r="42">
          <cell r="AE42" t="str">
            <v>南西</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12.xml"/><Relationship Id="rId18" Type="http://schemas.openxmlformats.org/officeDocument/2006/relationships/ctrlProp" Target="../ctrlProps/ctrlProp217.xml"/><Relationship Id="rId26" Type="http://schemas.openxmlformats.org/officeDocument/2006/relationships/ctrlProp" Target="../ctrlProps/ctrlProp225.xml"/><Relationship Id="rId3" Type="http://schemas.openxmlformats.org/officeDocument/2006/relationships/vmlDrawing" Target="../drawings/vmlDrawing10.vml"/><Relationship Id="rId21" Type="http://schemas.openxmlformats.org/officeDocument/2006/relationships/ctrlProp" Target="../ctrlProps/ctrlProp220.xml"/><Relationship Id="rId34" Type="http://schemas.openxmlformats.org/officeDocument/2006/relationships/comments" Target="../comments9.xml"/><Relationship Id="rId7" Type="http://schemas.openxmlformats.org/officeDocument/2006/relationships/ctrlProp" Target="../ctrlProps/ctrlProp206.xml"/><Relationship Id="rId12" Type="http://schemas.openxmlformats.org/officeDocument/2006/relationships/ctrlProp" Target="../ctrlProps/ctrlProp211.xml"/><Relationship Id="rId17" Type="http://schemas.openxmlformats.org/officeDocument/2006/relationships/ctrlProp" Target="../ctrlProps/ctrlProp216.xml"/><Relationship Id="rId25" Type="http://schemas.openxmlformats.org/officeDocument/2006/relationships/ctrlProp" Target="../ctrlProps/ctrlProp224.xml"/><Relationship Id="rId33" Type="http://schemas.openxmlformats.org/officeDocument/2006/relationships/ctrlProp" Target="../ctrlProps/ctrlProp232.xml"/><Relationship Id="rId2" Type="http://schemas.openxmlformats.org/officeDocument/2006/relationships/drawing" Target="../drawings/drawing10.xml"/><Relationship Id="rId16" Type="http://schemas.openxmlformats.org/officeDocument/2006/relationships/ctrlProp" Target="../ctrlProps/ctrlProp215.xml"/><Relationship Id="rId20" Type="http://schemas.openxmlformats.org/officeDocument/2006/relationships/ctrlProp" Target="../ctrlProps/ctrlProp219.xml"/><Relationship Id="rId29" Type="http://schemas.openxmlformats.org/officeDocument/2006/relationships/ctrlProp" Target="../ctrlProps/ctrlProp228.xml"/><Relationship Id="rId1" Type="http://schemas.openxmlformats.org/officeDocument/2006/relationships/printerSettings" Target="../printerSettings/printerSettings10.bin"/><Relationship Id="rId6" Type="http://schemas.openxmlformats.org/officeDocument/2006/relationships/ctrlProp" Target="../ctrlProps/ctrlProp205.xml"/><Relationship Id="rId11" Type="http://schemas.openxmlformats.org/officeDocument/2006/relationships/ctrlProp" Target="../ctrlProps/ctrlProp210.xml"/><Relationship Id="rId24" Type="http://schemas.openxmlformats.org/officeDocument/2006/relationships/ctrlProp" Target="../ctrlProps/ctrlProp223.xml"/><Relationship Id="rId32" Type="http://schemas.openxmlformats.org/officeDocument/2006/relationships/ctrlProp" Target="../ctrlProps/ctrlProp231.xml"/><Relationship Id="rId5" Type="http://schemas.openxmlformats.org/officeDocument/2006/relationships/ctrlProp" Target="../ctrlProps/ctrlProp204.xml"/><Relationship Id="rId15" Type="http://schemas.openxmlformats.org/officeDocument/2006/relationships/ctrlProp" Target="../ctrlProps/ctrlProp214.xml"/><Relationship Id="rId23" Type="http://schemas.openxmlformats.org/officeDocument/2006/relationships/ctrlProp" Target="../ctrlProps/ctrlProp222.xml"/><Relationship Id="rId28" Type="http://schemas.openxmlformats.org/officeDocument/2006/relationships/ctrlProp" Target="../ctrlProps/ctrlProp227.xml"/><Relationship Id="rId10" Type="http://schemas.openxmlformats.org/officeDocument/2006/relationships/ctrlProp" Target="../ctrlProps/ctrlProp209.xml"/><Relationship Id="rId19" Type="http://schemas.openxmlformats.org/officeDocument/2006/relationships/ctrlProp" Target="../ctrlProps/ctrlProp218.xml"/><Relationship Id="rId31" Type="http://schemas.openxmlformats.org/officeDocument/2006/relationships/ctrlProp" Target="../ctrlProps/ctrlProp230.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 Id="rId22" Type="http://schemas.openxmlformats.org/officeDocument/2006/relationships/ctrlProp" Target="../ctrlProps/ctrlProp221.xml"/><Relationship Id="rId27" Type="http://schemas.openxmlformats.org/officeDocument/2006/relationships/ctrlProp" Target="../ctrlProps/ctrlProp226.xml"/><Relationship Id="rId30" Type="http://schemas.openxmlformats.org/officeDocument/2006/relationships/ctrlProp" Target="../ctrlProps/ctrlProp229.xml"/><Relationship Id="rId8" Type="http://schemas.openxmlformats.org/officeDocument/2006/relationships/ctrlProp" Target="../ctrlProps/ctrlProp20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34.xml"/><Relationship Id="rId4" Type="http://schemas.openxmlformats.org/officeDocument/2006/relationships/ctrlProp" Target="../ctrlProps/ctrlProp23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omments" Target="../comments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3.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2" Type="http://schemas.openxmlformats.org/officeDocument/2006/relationships/drawing" Target="../drawings/drawing3.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3.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omments" Target="../comments2.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omments" Target="../comments3.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 Type="http://schemas.openxmlformats.org/officeDocument/2006/relationships/vmlDrawing" Target="../drawings/vmlDrawing5.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2" Type="http://schemas.openxmlformats.org/officeDocument/2006/relationships/drawing" Target="../drawings/drawing5.x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printerSettings" Target="../printerSettings/printerSettings5.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6.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6.xml"/><Relationship Id="rId16" Type="http://schemas.openxmlformats.org/officeDocument/2006/relationships/ctrlProp" Target="../ctrlProps/ctrlProp119.xml"/><Relationship Id="rId20" Type="http://schemas.openxmlformats.org/officeDocument/2006/relationships/ctrlProp" Target="../ctrlProps/ctrlProp123.xml"/><Relationship Id="rId1" Type="http://schemas.openxmlformats.org/officeDocument/2006/relationships/printerSettings" Target="../printerSettings/printerSettings6.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omments" Target="../comments5.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 Type="http://schemas.openxmlformats.org/officeDocument/2006/relationships/vmlDrawing" Target="../drawings/vmlDrawing7.vml"/><Relationship Id="rId21" Type="http://schemas.openxmlformats.org/officeDocument/2006/relationships/ctrlProp" Target="../ctrlProps/ctrlProp148.x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2" Type="http://schemas.openxmlformats.org/officeDocument/2006/relationships/drawing" Target="../drawings/drawing7.xml"/><Relationship Id="rId16" Type="http://schemas.openxmlformats.org/officeDocument/2006/relationships/ctrlProp" Target="../ctrlProps/ctrlProp143.xml"/><Relationship Id="rId20" Type="http://schemas.openxmlformats.org/officeDocument/2006/relationships/ctrlProp" Target="../ctrlProps/ctrlProp147.xml"/><Relationship Id="rId1" Type="http://schemas.openxmlformats.org/officeDocument/2006/relationships/printerSettings" Target="../printerSettings/printerSettings7.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omments" Target="../comments6.xml"/><Relationship Id="rId10" Type="http://schemas.openxmlformats.org/officeDocument/2006/relationships/ctrlProp" Target="../ctrlProps/ctrlProp137.xml"/><Relationship Id="rId19" Type="http://schemas.openxmlformats.org/officeDocument/2006/relationships/ctrlProp" Target="../ctrlProps/ctrlProp146.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9.xml"/><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trlProp" Target="../ctrlProps/ctrlProp177.xml"/><Relationship Id="rId3" Type="http://schemas.openxmlformats.org/officeDocument/2006/relationships/vmlDrawing" Target="../drawings/vmlDrawing8.vml"/><Relationship Id="rId21" Type="http://schemas.openxmlformats.org/officeDocument/2006/relationships/ctrlProp" Target="../ctrlProps/ctrlProp172.xml"/><Relationship Id="rId7" Type="http://schemas.openxmlformats.org/officeDocument/2006/relationships/ctrlProp" Target="../ctrlProps/ctrlProp158.x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2" Type="http://schemas.openxmlformats.org/officeDocument/2006/relationships/drawing" Target="../drawings/drawing8.xml"/><Relationship Id="rId16" Type="http://schemas.openxmlformats.org/officeDocument/2006/relationships/ctrlProp" Target="../ctrlProps/ctrlProp167.xml"/><Relationship Id="rId20" Type="http://schemas.openxmlformats.org/officeDocument/2006/relationships/ctrlProp" Target="../ctrlProps/ctrlProp171.xml"/><Relationship Id="rId1" Type="http://schemas.openxmlformats.org/officeDocument/2006/relationships/printerSettings" Target="../printerSettings/printerSettings8.bin"/><Relationship Id="rId6" Type="http://schemas.openxmlformats.org/officeDocument/2006/relationships/ctrlProp" Target="../ctrlProps/ctrlProp157.xml"/><Relationship Id="rId11" Type="http://schemas.openxmlformats.org/officeDocument/2006/relationships/ctrlProp" Target="../ctrlProps/ctrlProp162.xml"/><Relationship Id="rId24" Type="http://schemas.openxmlformats.org/officeDocument/2006/relationships/ctrlProp" Target="../ctrlProps/ctrlProp175.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28" Type="http://schemas.openxmlformats.org/officeDocument/2006/relationships/comments" Target="../comments7.xml"/><Relationship Id="rId10" Type="http://schemas.openxmlformats.org/officeDocument/2006/relationships/ctrlProp" Target="../ctrlProps/ctrlProp161.xml"/><Relationship Id="rId19" Type="http://schemas.openxmlformats.org/officeDocument/2006/relationships/ctrlProp" Target="../ctrlProps/ctrlProp170.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 Id="rId27" Type="http://schemas.openxmlformats.org/officeDocument/2006/relationships/ctrlProp" Target="../ctrlProps/ctrlProp17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3.xml"/><Relationship Id="rId13" Type="http://schemas.openxmlformats.org/officeDocument/2006/relationships/ctrlProp" Target="../ctrlProps/ctrlProp188.xml"/><Relationship Id="rId18" Type="http://schemas.openxmlformats.org/officeDocument/2006/relationships/ctrlProp" Target="../ctrlProps/ctrlProp193.xml"/><Relationship Id="rId26" Type="http://schemas.openxmlformats.org/officeDocument/2006/relationships/ctrlProp" Target="../ctrlProps/ctrlProp201.xml"/><Relationship Id="rId3" Type="http://schemas.openxmlformats.org/officeDocument/2006/relationships/vmlDrawing" Target="../drawings/vmlDrawing9.vml"/><Relationship Id="rId21" Type="http://schemas.openxmlformats.org/officeDocument/2006/relationships/ctrlProp" Target="../ctrlProps/ctrlProp196.xml"/><Relationship Id="rId7" Type="http://schemas.openxmlformats.org/officeDocument/2006/relationships/ctrlProp" Target="../ctrlProps/ctrlProp182.x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2" Type="http://schemas.openxmlformats.org/officeDocument/2006/relationships/drawing" Target="../drawings/drawing9.xml"/><Relationship Id="rId16" Type="http://schemas.openxmlformats.org/officeDocument/2006/relationships/ctrlProp" Target="../ctrlProps/ctrlProp191.xml"/><Relationship Id="rId20" Type="http://schemas.openxmlformats.org/officeDocument/2006/relationships/ctrlProp" Target="../ctrlProps/ctrlProp195.xml"/><Relationship Id="rId1" Type="http://schemas.openxmlformats.org/officeDocument/2006/relationships/printerSettings" Target="../printerSettings/printerSettings9.bin"/><Relationship Id="rId6" Type="http://schemas.openxmlformats.org/officeDocument/2006/relationships/ctrlProp" Target="../ctrlProps/ctrlProp181.xml"/><Relationship Id="rId11" Type="http://schemas.openxmlformats.org/officeDocument/2006/relationships/ctrlProp" Target="../ctrlProps/ctrlProp186.xml"/><Relationship Id="rId24" Type="http://schemas.openxmlformats.org/officeDocument/2006/relationships/ctrlProp" Target="../ctrlProps/ctrlProp199.xml"/><Relationship Id="rId5" Type="http://schemas.openxmlformats.org/officeDocument/2006/relationships/ctrlProp" Target="../ctrlProps/ctrlProp180.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omments" Target="../comments8.xml"/><Relationship Id="rId10" Type="http://schemas.openxmlformats.org/officeDocument/2006/relationships/ctrlProp" Target="../ctrlProps/ctrlProp185.xml"/><Relationship Id="rId19" Type="http://schemas.openxmlformats.org/officeDocument/2006/relationships/ctrlProp" Target="../ctrlProps/ctrlProp194.xml"/><Relationship Id="rId4" Type="http://schemas.openxmlformats.org/officeDocument/2006/relationships/ctrlProp" Target="../ctrlProps/ctrlProp179.xml"/><Relationship Id="rId9" Type="http://schemas.openxmlformats.org/officeDocument/2006/relationships/ctrlProp" Target="../ctrlProps/ctrlProp18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B1:AS147"/>
  <sheetViews>
    <sheetView tabSelected="1" view="pageBreakPreview" zoomScaleNormal="100" zoomScaleSheetLayoutView="100" workbookViewId="0">
      <selection activeCell="X4" sqref="X4:AC4"/>
    </sheetView>
  </sheetViews>
  <sheetFormatPr defaultColWidth="9" defaultRowHeight="13.5" x14ac:dyDescent="0.15"/>
  <cols>
    <col min="1" max="1" width="0.875" customWidth="1"/>
    <col min="2" max="29" width="3.625" customWidth="1"/>
    <col min="30" max="30" width="3.375" customWidth="1"/>
    <col min="31" max="31" width="6" hidden="1" customWidth="1"/>
    <col min="32" max="32" width="6.875" hidden="1" customWidth="1"/>
    <col min="33" max="33" width="25.25" hidden="1" customWidth="1"/>
    <col min="34" max="34" width="10" hidden="1" customWidth="1"/>
    <col min="35" max="45" width="6" hidden="1" customWidth="1"/>
    <col min="46" max="46" width="4.125" customWidth="1"/>
    <col min="47" max="73" width="3.625" customWidth="1"/>
  </cols>
  <sheetData>
    <row r="1" spans="2:44" ht="5.0999999999999996" customHeight="1" x14ac:dyDescent="0.15"/>
    <row r="2" spans="2:44" ht="30" customHeight="1" x14ac:dyDescent="0.15">
      <c r="B2" s="180" t="s">
        <v>160</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H2" s="24" t="s">
        <v>382</v>
      </c>
    </row>
    <row r="3" spans="2:44" ht="24.95" customHeight="1" x14ac:dyDescent="0.15">
      <c r="B3" s="181" t="s">
        <v>161</v>
      </c>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H3" s="148">
        <v>1</v>
      </c>
    </row>
    <row r="4" spans="2:44" ht="30" customHeight="1" x14ac:dyDescent="0.15">
      <c r="W4" s="153" t="s">
        <v>391</v>
      </c>
      <c r="X4" s="198"/>
      <c r="Y4" s="199"/>
      <c r="Z4" s="199"/>
      <c r="AA4" s="199"/>
      <c r="AB4" s="199"/>
      <c r="AC4" s="200"/>
      <c r="AG4" s="1" t="s">
        <v>68</v>
      </c>
      <c r="AH4" s="1"/>
      <c r="AI4" s="1"/>
      <c r="AJ4" s="1"/>
      <c r="AK4" s="1"/>
      <c r="AL4" s="1"/>
      <c r="AM4" s="1"/>
      <c r="AN4" s="1"/>
      <c r="AO4" s="1"/>
      <c r="AP4" s="1"/>
      <c r="AQ4" s="1"/>
      <c r="AR4" s="1"/>
    </row>
    <row r="5" spans="2:44" ht="30" customHeight="1" thickBot="1" x14ac:dyDescent="0.2">
      <c r="B5" s="4" t="s">
        <v>16</v>
      </c>
      <c r="AF5" s="118"/>
      <c r="AG5" s="231" t="s">
        <v>384</v>
      </c>
      <c r="AH5" s="231"/>
      <c r="AI5" s="231" t="s">
        <v>385</v>
      </c>
      <c r="AJ5" s="231"/>
      <c r="AK5" s="229" t="s">
        <v>359</v>
      </c>
      <c r="AL5" s="230"/>
      <c r="AM5" s="229" t="s">
        <v>101</v>
      </c>
      <c r="AN5" s="230"/>
      <c r="AO5" s="229" t="s">
        <v>102</v>
      </c>
      <c r="AP5" s="230"/>
      <c r="AQ5" s="229" t="s">
        <v>103</v>
      </c>
      <c r="AR5" s="230"/>
    </row>
    <row r="6" spans="2:44" s="2" customFormat="1" ht="30" customHeight="1" x14ac:dyDescent="0.15">
      <c r="B6" s="186" t="s">
        <v>17</v>
      </c>
      <c r="C6" s="187"/>
      <c r="D6" s="187"/>
      <c r="E6" s="187"/>
      <c r="F6" s="187"/>
      <c r="G6" s="187"/>
      <c r="H6" s="187"/>
      <c r="I6" s="188"/>
      <c r="J6" s="36"/>
      <c r="K6" s="191"/>
      <c r="L6" s="191"/>
      <c r="M6" s="191"/>
      <c r="N6" s="191"/>
      <c r="O6" s="191"/>
      <c r="P6" s="191"/>
      <c r="Q6" s="191"/>
      <c r="R6" s="191"/>
      <c r="S6" s="192"/>
      <c r="T6" s="189" t="s">
        <v>89</v>
      </c>
      <c r="U6" s="190"/>
      <c r="V6" s="190"/>
      <c r="W6" s="191"/>
      <c r="X6" s="191"/>
      <c r="Y6" s="191"/>
      <c r="Z6" s="191"/>
      <c r="AA6" s="191"/>
      <c r="AB6" s="191"/>
      <c r="AC6" s="201"/>
      <c r="AF6" s="118"/>
      <c r="AG6" s="119" t="s">
        <v>386</v>
      </c>
      <c r="AH6" s="119" t="s">
        <v>387</v>
      </c>
      <c r="AI6" s="119" t="s">
        <v>386</v>
      </c>
      <c r="AJ6" s="119" t="s">
        <v>387</v>
      </c>
      <c r="AK6" s="119" t="s">
        <v>360</v>
      </c>
      <c r="AL6" s="119" t="s">
        <v>361</v>
      </c>
      <c r="AM6" s="119" t="s">
        <v>360</v>
      </c>
      <c r="AN6" s="119" t="s">
        <v>361</v>
      </c>
      <c r="AO6" s="119" t="s">
        <v>360</v>
      </c>
      <c r="AP6" s="119" t="s">
        <v>361</v>
      </c>
      <c r="AQ6" s="119" t="s">
        <v>360</v>
      </c>
      <c r="AR6" s="119" t="s">
        <v>361</v>
      </c>
    </row>
    <row r="7" spans="2:44" s="2" customFormat="1" ht="30" customHeight="1" thickBot="1" x14ac:dyDescent="0.2">
      <c r="B7" s="193" t="s">
        <v>18</v>
      </c>
      <c r="C7" s="194"/>
      <c r="D7" s="194"/>
      <c r="E7" s="194"/>
      <c r="F7" s="194"/>
      <c r="G7" s="194"/>
      <c r="H7" s="194"/>
      <c r="I7" s="195"/>
      <c r="J7" s="71"/>
      <c r="K7" s="196"/>
      <c r="L7" s="196"/>
      <c r="M7" s="196"/>
      <c r="N7" s="196"/>
      <c r="O7" s="196"/>
      <c r="P7" s="196"/>
      <c r="Q7" s="196"/>
      <c r="R7" s="196"/>
      <c r="S7" s="196"/>
      <c r="T7" s="196"/>
      <c r="U7" s="196"/>
      <c r="V7" s="196"/>
      <c r="W7" s="197"/>
      <c r="X7" s="184" t="s">
        <v>19</v>
      </c>
      <c r="Y7" s="185"/>
      <c r="Z7" s="185"/>
      <c r="AA7" s="182" t="s">
        <v>394</v>
      </c>
      <c r="AB7" s="182"/>
      <c r="AC7" s="183"/>
      <c r="AF7" s="134" t="s">
        <v>165</v>
      </c>
      <c r="AG7" s="135">
        <v>0.2</v>
      </c>
      <c r="AH7" s="136" t="s">
        <v>388</v>
      </c>
      <c r="AI7" s="135">
        <v>0.28000000000000003</v>
      </c>
      <c r="AJ7" s="136" t="s">
        <v>388</v>
      </c>
      <c r="AK7" s="135">
        <v>0.4</v>
      </c>
      <c r="AL7" s="136" t="s">
        <v>104</v>
      </c>
      <c r="AM7" s="137">
        <v>0.46</v>
      </c>
      <c r="AN7" s="136" t="s">
        <v>104</v>
      </c>
      <c r="AO7" s="137">
        <v>0.54</v>
      </c>
      <c r="AP7" s="136" t="s">
        <v>104</v>
      </c>
      <c r="AQ7" s="137">
        <v>0.72</v>
      </c>
      <c r="AR7" s="136" t="s">
        <v>104</v>
      </c>
    </row>
    <row r="8" spans="2:44" s="2" customFormat="1" ht="30" customHeight="1" x14ac:dyDescent="0.15">
      <c r="B8" s="72"/>
      <c r="C8" s="72"/>
      <c r="D8" s="72"/>
      <c r="E8" s="72"/>
      <c r="F8" s="72"/>
      <c r="G8" s="72"/>
      <c r="H8" s="72"/>
      <c r="I8" s="72"/>
      <c r="J8" s="72"/>
      <c r="K8" s="72"/>
      <c r="L8" s="72"/>
      <c r="M8" s="72"/>
      <c r="N8" s="72"/>
      <c r="O8" s="73"/>
      <c r="P8" s="73"/>
      <c r="Q8" s="72"/>
      <c r="R8" s="72"/>
      <c r="S8" s="72"/>
      <c r="T8" s="72"/>
      <c r="U8" s="73"/>
      <c r="V8" s="72"/>
      <c r="W8" s="72"/>
      <c r="X8" s="72"/>
      <c r="Y8" s="72"/>
      <c r="Z8" s="72"/>
      <c r="AA8" s="72"/>
      <c r="AB8" s="72"/>
      <c r="AC8" s="72"/>
      <c r="AF8" s="134" t="s">
        <v>166</v>
      </c>
      <c r="AG8" s="135">
        <v>0.2</v>
      </c>
      <c r="AH8" s="136" t="s">
        <v>388</v>
      </c>
      <c r="AI8" s="135">
        <v>0.28000000000000003</v>
      </c>
      <c r="AJ8" s="136" t="s">
        <v>388</v>
      </c>
      <c r="AK8" s="135">
        <v>0.4</v>
      </c>
      <c r="AL8" s="136" t="s">
        <v>388</v>
      </c>
      <c r="AM8" s="137">
        <v>0.46</v>
      </c>
      <c r="AN8" s="136" t="s">
        <v>388</v>
      </c>
      <c r="AO8" s="137">
        <v>0.54</v>
      </c>
      <c r="AP8" s="136" t="s">
        <v>388</v>
      </c>
      <c r="AQ8" s="137">
        <v>0.72</v>
      </c>
      <c r="AR8" s="136" t="s">
        <v>388</v>
      </c>
    </row>
    <row r="9" spans="2:44" s="2" customFormat="1" ht="30" customHeight="1" x14ac:dyDescent="0.15">
      <c r="AF9" s="134" t="s">
        <v>167</v>
      </c>
      <c r="AG9" s="135">
        <v>0.2</v>
      </c>
      <c r="AH9" s="136" t="s">
        <v>388</v>
      </c>
      <c r="AI9" s="135">
        <v>0.28000000000000003</v>
      </c>
      <c r="AJ9" s="136" t="s">
        <v>388</v>
      </c>
      <c r="AK9" s="135">
        <v>0.5</v>
      </c>
      <c r="AL9" s="136" t="s">
        <v>388</v>
      </c>
      <c r="AM9" s="137">
        <v>0.56000000000000005</v>
      </c>
      <c r="AN9" s="136" t="s">
        <v>388</v>
      </c>
      <c r="AO9" s="137">
        <v>1.04</v>
      </c>
      <c r="AP9" s="136" t="s">
        <v>388</v>
      </c>
      <c r="AQ9" s="137">
        <v>1.21</v>
      </c>
      <c r="AR9" s="136" t="s">
        <v>388</v>
      </c>
    </row>
    <row r="10" spans="2:44" s="2" customFormat="1" ht="30" customHeight="1" thickBot="1" x14ac:dyDescent="0.2">
      <c r="B10" s="4" t="s">
        <v>20</v>
      </c>
      <c r="AF10" s="134" t="s">
        <v>168</v>
      </c>
      <c r="AG10" s="135">
        <v>0.23</v>
      </c>
      <c r="AH10" s="136" t="s">
        <v>388</v>
      </c>
      <c r="AI10" s="135">
        <v>0.34</v>
      </c>
      <c r="AJ10" s="136" t="s">
        <v>388</v>
      </c>
      <c r="AK10" s="135">
        <v>0.6</v>
      </c>
      <c r="AL10" s="136" t="s">
        <v>388</v>
      </c>
      <c r="AM10" s="137">
        <v>0.75</v>
      </c>
      <c r="AN10" s="136" t="s">
        <v>388</v>
      </c>
      <c r="AO10" s="137">
        <v>1.25</v>
      </c>
      <c r="AP10" s="136" t="s">
        <v>388</v>
      </c>
      <c r="AQ10" s="137">
        <v>1.47</v>
      </c>
      <c r="AR10" s="136" t="s">
        <v>388</v>
      </c>
    </row>
    <row r="11" spans="2:44" s="2" customFormat="1" ht="30" customHeight="1" x14ac:dyDescent="0.15">
      <c r="B11" s="168" t="s">
        <v>280</v>
      </c>
      <c r="C11" s="169"/>
      <c r="D11" s="169"/>
      <c r="E11" s="169"/>
      <c r="F11" s="169"/>
      <c r="G11" s="169"/>
      <c r="H11" s="169"/>
      <c r="I11" s="170"/>
      <c r="J11" s="175">
        <f>ROUND('Ａ（北）'!J45+'Ａ（北東）'!J45+'Ａ（東）'!J45+'Ａ（南東）'!J45+'Ａ（南）'!J45+'Ａ（南西）'!J45+'Ａ（西）'!J45+'Ａ（北西）'!J45+'Ｃ（屋根・床等）'!L32+'D（基礎）'!H15+'D（基礎）'!H45,2)</f>
        <v>0</v>
      </c>
      <c r="K11" s="175"/>
      <c r="L11" s="176"/>
      <c r="M11" s="177" t="s">
        <v>15</v>
      </c>
      <c r="N11" s="178"/>
      <c r="O11" s="239" t="s">
        <v>162</v>
      </c>
      <c r="P11" s="239"/>
      <c r="Q11" s="239"/>
      <c r="R11" s="239"/>
      <c r="S11" s="239"/>
      <c r="T11" s="239"/>
      <c r="U11" s="239"/>
      <c r="V11" s="239"/>
      <c r="W11" s="239"/>
      <c r="X11" s="175">
        <f>IF(AH24=0,0,ROUNDUP(AI24,1))</f>
        <v>0</v>
      </c>
      <c r="Y11" s="175"/>
      <c r="Z11" s="175"/>
      <c r="AA11" s="176"/>
      <c r="AB11" s="237"/>
      <c r="AC11" s="238"/>
      <c r="AF11" s="134" t="s">
        <v>169</v>
      </c>
      <c r="AG11" s="135">
        <v>0.26</v>
      </c>
      <c r="AH11" s="136">
        <v>3</v>
      </c>
      <c r="AI11" s="135">
        <v>0.46</v>
      </c>
      <c r="AJ11" s="136">
        <v>3</v>
      </c>
      <c r="AK11" s="135">
        <v>0.6</v>
      </c>
      <c r="AL11" s="136">
        <v>3</v>
      </c>
      <c r="AM11" s="137">
        <v>0.87</v>
      </c>
      <c r="AN11" s="136">
        <v>3</v>
      </c>
      <c r="AO11" s="137">
        <v>1.54</v>
      </c>
      <c r="AP11" s="136">
        <v>4</v>
      </c>
      <c r="AQ11" s="137">
        <v>1.67</v>
      </c>
      <c r="AR11" s="136" t="s">
        <v>388</v>
      </c>
    </row>
    <row r="12" spans="2:44" s="2" customFormat="1" ht="30" customHeight="1" thickBot="1" x14ac:dyDescent="0.2">
      <c r="B12" s="167" t="s">
        <v>164</v>
      </c>
      <c r="C12" s="167"/>
      <c r="D12" s="167"/>
      <c r="E12" s="167"/>
      <c r="F12" s="167"/>
      <c r="G12" s="167"/>
      <c r="H12" s="167"/>
      <c r="I12" s="167"/>
      <c r="J12" s="173">
        <f>IF(AH23=0,0,ROUNDUP(AI23,2))</f>
        <v>0</v>
      </c>
      <c r="K12" s="173"/>
      <c r="L12" s="174"/>
      <c r="M12" s="171" t="s">
        <v>23</v>
      </c>
      <c r="N12" s="172"/>
      <c r="O12" s="236" t="s">
        <v>163</v>
      </c>
      <c r="P12" s="236"/>
      <c r="Q12" s="236"/>
      <c r="R12" s="236"/>
      <c r="S12" s="236"/>
      <c r="T12" s="236"/>
      <c r="U12" s="236"/>
      <c r="V12" s="236"/>
      <c r="W12" s="236"/>
      <c r="X12" s="234" t="str">
        <f>IF(AA7="８地域","-",IF(AH25=0,"0",ROUNDDOWN((AH25/J11)*100,1)))</f>
        <v>0</v>
      </c>
      <c r="Y12" s="234"/>
      <c r="Z12" s="234"/>
      <c r="AA12" s="235"/>
      <c r="AB12" s="232"/>
      <c r="AC12" s="233"/>
      <c r="AF12" s="134" t="s">
        <v>170</v>
      </c>
      <c r="AG12" s="135">
        <v>0.26</v>
      </c>
      <c r="AH12" s="136">
        <v>2.8</v>
      </c>
      <c r="AI12" s="135">
        <v>0.46</v>
      </c>
      <c r="AJ12" s="136">
        <v>2.8</v>
      </c>
      <c r="AK12" s="135">
        <v>0.6</v>
      </c>
      <c r="AL12" s="136">
        <v>2.8</v>
      </c>
      <c r="AM12" s="137">
        <v>0.87</v>
      </c>
      <c r="AN12" s="136">
        <v>2.8</v>
      </c>
      <c r="AO12" s="137">
        <v>1.54</v>
      </c>
      <c r="AP12" s="136">
        <v>3.8</v>
      </c>
      <c r="AQ12" s="137">
        <v>1.67</v>
      </c>
      <c r="AR12" s="136" t="s">
        <v>388</v>
      </c>
    </row>
    <row r="13" spans="2:44" s="2" customFormat="1" ht="30" customHeight="1" x14ac:dyDescent="0.15">
      <c r="J13" s="70"/>
      <c r="K13" s="70"/>
      <c r="L13" s="70"/>
      <c r="M13" s="74"/>
      <c r="N13" s="74"/>
      <c r="AF13" s="134" t="s">
        <v>171</v>
      </c>
      <c r="AG13" s="135">
        <v>0.26</v>
      </c>
      <c r="AH13" s="136">
        <v>2.7</v>
      </c>
      <c r="AI13" s="135">
        <v>0.46</v>
      </c>
      <c r="AJ13" s="136">
        <v>2.7</v>
      </c>
      <c r="AK13" s="135">
        <v>0.6</v>
      </c>
      <c r="AL13" s="136">
        <v>2.7</v>
      </c>
      <c r="AM13" s="137">
        <v>0.87</v>
      </c>
      <c r="AN13" s="136">
        <v>2.7</v>
      </c>
      <c r="AO13" s="137">
        <v>1.81</v>
      </c>
      <c r="AP13" s="136">
        <v>4</v>
      </c>
      <c r="AQ13" s="137">
        <v>2.35</v>
      </c>
      <c r="AR13" s="136" t="s">
        <v>388</v>
      </c>
    </row>
    <row r="14" spans="2:44" s="2" customFormat="1" ht="30" customHeight="1" x14ac:dyDescent="0.15">
      <c r="Z14" s="75"/>
      <c r="AA14" s="76"/>
      <c r="AB14" s="76"/>
      <c r="AC14" s="77"/>
      <c r="AF14" s="134" t="s">
        <v>172</v>
      </c>
      <c r="AG14" s="135" t="s">
        <v>388</v>
      </c>
      <c r="AH14" s="136" t="s">
        <v>388</v>
      </c>
      <c r="AI14" s="135" t="s">
        <v>388</v>
      </c>
      <c r="AJ14" s="136">
        <v>5.0999999999999996</v>
      </c>
      <c r="AK14" s="135" t="s">
        <v>104</v>
      </c>
      <c r="AL14" s="136">
        <v>6.7</v>
      </c>
      <c r="AM14" s="137" t="s">
        <v>104</v>
      </c>
      <c r="AN14" s="136">
        <v>6.7</v>
      </c>
      <c r="AO14" s="137" t="s">
        <v>104</v>
      </c>
      <c r="AP14" s="136" t="s">
        <v>388</v>
      </c>
      <c r="AQ14" s="137" t="s">
        <v>104</v>
      </c>
      <c r="AR14" s="136" t="s">
        <v>388</v>
      </c>
    </row>
    <row r="15" spans="2:44" s="2" customFormat="1" ht="30" customHeight="1" thickBot="1" x14ac:dyDescent="0.2">
      <c r="B15" s="4" t="s">
        <v>63</v>
      </c>
      <c r="AF15" s="1"/>
      <c r="AG15" s="1"/>
      <c r="AH15" s="1"/>
      <c r="AI15" s="1"/>
      <c r="AJ15" s="1"/>
      <c r="AK15" s="1"/>
      <c r="AL15" s="1"/>
      <c r="AM15" s="1"/>
      <c r="AN15" s="1"/>
      <c r="AO15" s="1"/>
      <c r="AP15" s="1"/>
      <c r="AQ15" s="1"/>
      <c r="AR15" s="1"/>
    </row>
    <row r="16" spans="2:44" s="2" customFormat="1" ht="30" customHeight="1" thickBot="1" x14ac:dyDescent="0.2">
      <c r="B16" s="204"/>
      <c r="C16" s="205"/>
      <c r="D16" s="205"/>
      <c r="E16" s="205"/>
      <c r="F16" s="205"/>
      <c r="G16" s="205"/>
      <c r="H16" s="205"/>
      <c r="I16" s="206"/>
      <c r="J16" s="179" t="s">
        <v>64</v>
      </c>
      <c r="K16" s="164"/>
      <c r="L16" s="164"/>
      <c r="M16" s="164"/>
      <c r="N16" s="164"/>
      <c r="O16" s="164" t="s">
        <v>65</v>
      </c>
      <c r="P16" s="164"/>
      <c r="Q16" s="164"/>
      <c r="R16" s="164"/>
      <c r="S16" s="164"/>
      <c r="T16" s="165" t="s">
        <v>66</v>
      </c>
      <c r="U16" s="165"/>
      <c r="V16" s="165"/>
      <c r="W16" s="165"/>
      <c r="X16" s="166"/>
      <c r="Z16" s="149"/>
      <c r="AA16" s="227" t="s">
        <v>383</v>
      </c>
      <c r="AB16" s="227"/>
      <c r="AC16" s="228"/>
      <c r="AG16" s="1" t="s">
        <v>362</v>
      </c>
    </row>
    <row r="17" spans="2:44" s="2" customFormat="1" ht="30" customHeight="1" x14ac:dyDescent="0.15">
      <c r="B17" s="186" t="s">
        <v>281</v>
      </c>
      <c r="C17" s="187"/>
      <c r="D17" s="187"/>
      <c r="E17" s="187"/>
      <c r="F17" s="187"/>
      <c r="G17" s="187"/>
      <c r="H17" s="187"/>
      <c r="I17" s="187"/>
      <c r="J17" s="225">
        <f>J12</f>
        <v>0</v>
      </c>
      <c r="K17" s="226"/>
      <c r="L17" s="226"/>
      <c r="M17" s="160" t="s">
        <v>23</v>
      </c>
      <c r="N17" s="161"/>
      <c r="O17" s="162">
        <f>IF(AA7&lt;&gt;"",VLOOKUP(AA7,AF7:AR14,2+(AG17-1)*2,FALSE),"-")</f>
        <v>0.56000000000000005</v>
      </c>
      <c r="P17" s="163"/>
      <c r="Q17" s="163"/>
      <c r="R17" s="160" t="s">
        <v>67</v>
      </c>
      <c r="S17" s="161"/>
      <c r="T17" s="202" t="str">
        <f>IF(O17="-","-",(IF(O17&gt;=AI23,"適合","不適合")))</f>
        <v>適合</v>
      </c>
      <c r="U17" s="202"/>
      <c r="V17" s="202"/>
      <c r="W17" s="202"/>
      <c r="X17" s="203"/>
      <c r="Z17" s="150"/>
      <c r="AA17" s="214" t="s">
        <v>415</v>
      </c>
      <c r="AB17" s="207"/>
      <c r="AC17" s="208"/>
      <c r="AG17" s="138">
        <v>4</v>
      </c>
    </row>
    <row r="18" spans="2:44" s="2" customFormat="1" ht="30" customHeight="1" thickBot="1" x14ac:dyDescent="0.2">
      <c r="B18" s="221" t="s">
        <v>282</v>
      </c>
      <c r="C18" s="222"/>
      <c r="D18" s="222"/>
      <c r="E18" s="222"/>
      <c r="F18" s="222"/>
      <c r="G18" s="222"/>
      <c r="H18" s="222"/>
      <c r="I18" s="222"/>
      <c r="J18" s="223">
        <f>X11</f>
        <v>0</v>
      </c>
      <c r="K18" s="224"/>
      <c r="L18" s="224"/>
      <c r="M18" s="109"/>
      <c r="N18" s="110"/>
      <c r="O18" s="215" t="str">
        <f>IF(AA7&lt;&gt;"",VLOOKUP(AA7,AF7:AR14,3+(AG17-1)*2,FALSE),"-")</f>
        <v>-</v>
      </c>
      <c r="P18" s="216"/>
      <c r="Q18" s="216"/>
      <c r="R18" s="217"/>
      <c r="S18" s="218"/>
      <c r="T18" s="219" t="str">
        <f>IF(O18="-","-",(IF(O18&gt;=AI24,"適合","不適合")))</f>
        <v>-</v>
      </c>
      <c r="U18" s="219"/>
      <c r="V18" s="219"/>
      <c r="W18" s="219"/>
      <c r="X18" s="220"/>
      <c r="Z18" s="150"/>
      <c r="AA18" s="211" t="s">
        <v>414</v>
      </c>
      <c r="AB18" s="212"/>
      <c r="AC18" s="213"/>
      <c r="AF18" s="1"/>
    </row>
    <row r="19" spans="2:44" s="2" customFormat="1" ht="30" customHeight="1" x14ac:dyDescent="0.15">
      <c r="Z19" s="150"/>
      <c r="AA19" s="214" t="s">
        <v>413</v>
      </c>
      <c r="AB19" s="207"/>
      <c r="AC19" s="208"/>
      <c r="AF19" s="31"/>
      <c r="AG19" s="1" t="s">
        <v>363</v>
      </c>
      <c r="AH19" s="1"/>
      <c r="AI19" s="1"/>
      <c r="AJ19" s="1"/>
      <c r="AK19" s="1"/>
      <c r="AL19" s="1"/>
      <c r="AM19" s="1"/>
      <c r="AN19" s="1"/>
      <c r="AO19" s="1"/>
      <c r="AP19" s="1"/>
      <c r="AQ19" s="1"/>
      <c r="AR19" s="1"/>
    </row>
    <row r="20" spans="2:44" s="2" customFormat="1" ht="30" customHeight="1" x14ac:dyDescent="0.15">
      <c r="Z20" s="150"/>
      <c r="AA20" s="207" t="s">
        <v>358</v>
      </c>
      <c r="AB20" s="207"/>
      <c r="AC20" s="208"/>
      <c r="AF20" s="31"/>
      <c r="AG20" s="133">
        <f>VLOOKUP(AA7,$AF$7:$AR$14,2,FALSE)</f>
        <v>0.2</v>
      </c>
      <c r="AH20" s="139" t="str">
        <f>VLOOKUP(AA7,$AF$7:$AR$14,3,FALSE)</f>
        <v>-</v>
      </c>
      <c r="AI20" s="133">
        <f>VLOOKUP(AA7,$AF$7:$AN$14,4,FALSE)</f>
        <v>0.28000000000000003</v>
      </c>
      <c r="AJ20" s="139" t="str">
        <f>VLOOKUP(AA7,$AF$7:$AR$14,5,FALSE)</f>
        <v>-</v>
      </c>
      <c r="AK20" s="133">
        <f>VLOOKUP(AA7,$AF$7:$AR$14,6,FALSE)</f>
        <v>0.5</v>
      </c>
      <c r="AL20" s="139" t="str">
        <f>VLOOKUP(AA7,$AF$7:$AR$14,7,FALSE)</f>
        <v>-</v>
      </c>
      <c r="AM20" s="133">
        <f>VLOOKUP(AA7,$AF$7:$AR$14,8,FALSE)</f>
        <v>0.56000000000000005</v>
      </c>
      <c r="AN20" s="119" t="str">
        <f>VLOOKUP(AA7,$AF$7:$AR$14,9,FALSE)</f>
        <v>-</v>
      </c>
      <c r="AO20" s="133">
        <f>VLOOKUP(AA7,$AF$7:$AR$14,10,FALSE)</f>
        <v>1.04</v>
      </c>
      <c r="AP20" s="119" t="str">
        <f>VLOOKUP(AA7,$AF$7:$AR$14,11,FALSE)</f>
        <v>-</v>
      </c>
      <c r="AQ20" s="133">
        <f>VLOOKUP(AA7,$AF$7:$AR$14,12,FALSE)</f>
        <v>1.21</v>
      </c>
      <c r="AR20" s="119" t="str">
        <f>VLOOKUP(AA7,$AF$7:$AR$14,13,FALSE)</f>
        <v>-</v>
      </c>
    </row>
    <row r="21" spans="2:44" s="2" customFormat="1" ht="30" customHeight="1" thickBot="1" x14ac:dyDescent="0.2">
      <c r="Z21" s="151"/>
      <c r="AA21" s="209" t="s">
        <v>105</v>
      </c>
      <c r="AB21" s="209"/>
      <c r="AC21" s="210"/>
      <c r="AF21" s="31"/>
      <c r="AI21" s="1"/>
      <c r="AJ21" s="1"/>
      <c r="AK21" s="1"/>
      <c r="AL21" s="1"/>
      <c r="AM21" s="1"/>
      <c r="AN21" s="1"/>
      <c r="AO21" s="1"/>
      <c r="AP21" s="1"/>
      <c r="AQ21" s="1"/>
      <c r="AR21" s="1"/>
    </row>
    <row r="22" spans="2:44" s="2" customFormat="1" ht="30" customHeight="1" x14ac:dyDescent="0.15">
      <c r="AG22" s="1" t="s">
        <v>364</v>
      </c>
      <c r="AH22" s="1"/>
      <c r="AI22" s="1"/>
      <c r="AJ22" s="1"/>
      <c r="AK22" s="1"/>
      <c r="AL22" s="1"/>
      <c r="AM22" s="1"/>
      <c r="AN22" s="1"/>
      <c r="AO22" s="1"/>
      <c r="AP22" s="1"/>
      <c r="AQ22" s="1"/>
      <c r="AR22" s="1"/>
    </row>
    <row r="23" spans="2:44" s="2" customFormat="1" ht="30" customHeight="1" x14ac:dyDescent="0.15">
      <c r="C23" s="78" t="s">
        <v>21</v>
      </c>
      <c r="D23" s="79"/>
      <c r="E23" s="79"/>
      <c r="F23" s="79"/>
      <c r="G23" s="79"/>
      <c r="H23" s="79"/>
      <c r="I23" s="79"/>
      <c r="J23" s="79"/>
      <c r="K23" s="79"/>
      <c r="L23" s="79"/>
      <c r="M23" s="79"/>
      <c r="N23" s="79"/>
      <c r="O23" s="79"/>
      <c r="P23" s="79"/>
      <c r="Q23" s="79"/>
      <c r="R23" s="79"/>
      <c r="S23" s="79"/>
      <c r="T23" s="79"/>
      <c r="U23" s="79"/>
      <c r="V23" s="79"/>
      <c r="W23" s="79"/>
      <c r="X23" s="79"/>
      <c r="Y23" s="79"/>
      <c r="Z23" s="79"/>
      <c r="AA23" s="79"/>
      <c r="AB23" s="80"/>
      <c r="AG23" s="119" t="s">
        <v>365</v>
      </c>
      <c r="AH23" s="140">
        <f>'Ａ（北）'!AA48+'Ａ（北東）'!AA48+'Ａ（東）'!AA48+'Ａ（南東）'!AA48+'Ａ（南）'!AA48+'Ａ（南西）'!AA48+'Ａ（西）'!AA48+'Ａ（北西）'!AA48+'Ｂ（熱橋部）'!AC41+'Ｃ（屋根・床等）'!U35+'D（基礎）'!Q30+'D（基礎）'!W45</f>
        <v>0</v>
      </c>
      <c r="AI23" s="1">
        <f>IF(AH23=0,0,AH23/J11)</f>
        <v>0</v>
      </c>
      <c r="AJ23" s="1"/>
      <c r="AK23" s="1"/>
      <c r="AL23" s="1"/>
      <c r="AM23" s="1"/>
      <c r="AN23" s="1"/>
      <c r="AO23" s="1"/>
      <c r="AP23" s="1"/>
      <c r="AQ23" s="1"/>
      <c r="AR23" s="1"/>
    </row>
    <row r="24" spans="2:44" s="2" customFormat="1" ht="30" customHeight="1" x14ac:dyDescent="0.15">
      <c r="C24" s="81" t="s">
        <v>22</v>
      </c>
      <c r="AB24" s="82"/>
      <c r="AG24" s="119" t="s">
        <v>366</v>
      </c>
      <c r="AH24" s="140">
        <f>'Ａ（北）'!AA46+'Ａ（北東）'!AA46+'Ａ（東）'!AA46+'Ａ（南東）'!AA46+'Ａ（南）'!AA46+'Ａ（南西）'!AA46+'Ａ（西）'!AA46+'Ａ（北西）'!AA46+'Ｂ（熱橋部）'!AC39+'Ｃ（屋根・床等）'!U33+'D（基礎）'!Q45</f>
        <v>0</v>
      </c>
      <c r="AI24" s="1">
        <f>IF(AH24=0,0,(AH24/J11)*100)</f>
        <v>0</v>
      </c>
      <c r="AJ24" s="1"/>
      <c r="AK24" s="1"/>
      <c r="AL24" s="1"/>
      <c r="AM24" s="1"/>
      <c r="AN24" s="1"/>
      <c r="AO24" s="1"/>
      <c r="AP24" s="1"/>
      <c r="AQ24" s="1"/>
      <c r="AR24" s="1"/>
    </row>
    <row r="25" spans="2:44" s="2" customFormat="1" ht="30" customHeight="1" x14ac:dyDescent="0.15">
      <c r="C25" s="81" t="s">
        <v>371</v>
      </c>
      <c r="AB25" s="82"/>
      <c r="AG25" s="119" t="s">
        <v>367</v>
      </c>
      <c r="AH25" s="140">
        <f>'Ａ（北）'!AA47+'Ａ（北東）'!AA47+'Ａ（東）'!AA47+'Ａ（南東）'!AA47+'Ａ（南）'!AA47+'Ａ（南西）'!AA47+'Ａ（西）'!AA47+'Ａ（北西）'!AA47+'Ｂ（熱橋部）'!AC40+'Ｃ（屋根・床等）'!U34+'D（基礎）'!T45</f>
        <v>0</v>
      </c>
    </row>
    <row r="26" spans="2:44" s="2" customFormat="1" ht="30" customHeight="1" x14ac:dyDescent="0.15">
      <c r="C26" s="81" t="s">
        <v>28</v>
      </c>
      <c r="AB26" s="82"/>
      <c r="AG26"/>
    </row>
    <row r="27" spans="2:44" s="2" customFormat="1" ht="30" customHeight="1" x14ac:dyDescent="0.15">
      <c r="C27" s="81" t="s">
        <v>50</v>
      </c>
      <c r="G27" s="131" t="s">
        <v>52</v>
      </c>
      <c r="H27" s="132"/>
      <c r="I27" s="81" t="s">
        <v>51</v>
      </c>
      <c r="AB27" s="82"/>
      <c r="AG27"/>
    </row>
    <row r="28" spans="2:44" s="2" customFormat="1" ht="30" customHeight="1" x14ac:dyDescent="0.15">
      <c r="C28" s="81" t="s">
        <v>59</v>
      </c>
      <c r="G28" s="11"/>
      <c r="H28" s="11"/>
      <c r="AB28" s="82"/>
      <c r="AG28"/>
    </row>
    <row r="29" spans="2:44" s="2" customFormat="1" ht="30" customHeight="1" x14ac:dyDescent="0.15">
      <c r="C29" s="81" t="s">
        <v>217</v>
      </c>
      <c r="AB29" s="82"/>
    </row>
    <row r="30" spans="2:44" s="2" customFormat="1" ht="30" customHeight="1" x14ac:dyDescent="0.15">
      <c r="C30" s="83" t="s">
        <v>173</v>
      </c>
      <c r="D30" s="84"/>
      <c r="E30" s="84"/>
      <c r="F30" s="84"/>
      <c r="G30" s="84"/>
      <c r="H30" s="84"/>
      <c r="I30" s="84"/>
      <c r="J30" s="84"/>
      <c r="K30" s="84"/>
      <c r="L30" s="84"/>
      <c r="M30" s="84"/>
      <c r="N30" s="84"/>
      <c r="O30" s="84"/>
      <c r="P30" s="84"/>
      <c r="Q30" s="84"/>
      <c r="R30" s="84"/>
      <c r="S30" s="84"/>
      <c r="T30" s="84"/>
      <c r="U30" s="84"/>
      <c r="V30" s="84"/>
      <c r="W30" s="84"/>
      <c r="X30" s="84"/>
      <c r="Y30" s="84"/>
      <c r="Z30" s="84"/>
      <c r="AA30" s="84"/>
      <c r="AB30" s="85"/>
    </row>
    <row r="31" spans="2:44" s="2" customFormat="1" ht="30" customHeight="1" x14ac:dyDescent="0.15"/>
    <row r="32" spans="2:44" s="2" customFormat="1" ht="20.100000000000001" customHeight="1" x14ac:dyDescent="0.15"/>
    <row r="33" s="2" customFormat="1" ht="20.100000000000001" customHeight="1" x14ac:dyDescent="0.15"/>
    <row r="34" s="2" customFormat="1" ht="20.100000000000001" customHeight="1" x14ac:dyDescent="0.15"/>
    <row r="35" s="2" customFormat="1" ht="20.100000000000001" customHeight="1" x14ac:dyDescent="0.15"/>
    <row r="36" s="2" customFormat="1" ht="20.100000000000001" customHeight="1" x14ac:dyDescent="0.15"/>
    <row r="37" s="2" customFormat="1" ht="20.100000000000001" customHeight="1" x14ac:dyDescent="0.15"/>
    <row r="38" s="2" customFormat="1" ht="20.100000000000001" customHeight="1" x14ac:dyDescent="0.15"/>
    <row r="39" s="2" customFormat="1" ht="20.100000000000001" customHeight="1" x14ac:dyDescent="0.15"/>
    <row r="40" s="2" customFormat="1" ht="20.100000000000001" customHeight="1" x14ac:dyDescent="0.15"/>
    <row r="41" s="2" customFormat="1" ht="20.100000000000001" customHeight="1" x14ac:dyDescent="0.15"/>
    <row r="42" s="2" customFormat="1" ht="20.100000000000001" customHeight="1" x14ac:dyDescent="0.15"/>
    <row r="43" s="2" customFormat="1" ht="20.100000000000001" customHeight="1" x14ac:dyDescent="0.15"/>
    <row r="44" s="2" customFormat="1" ht="20.100000000000001" customHeight="1" x14ac:dyDescent="0.15"/>
    <row r="45" s="2" customFormat="1" ht="20.100000000000001" customHeight="1" x14ac:dyDescent="0.15"/>
    <row r="46" s="2" customFormat="1" ht="20.100000000000001" customHeight="1" x14ac:dyDescent="0.15"/>
    <row r="47" s="2" customFormat="1" ht="20.100000000000001" customHeight="1" x14ac:dyDescent="0.15"/>
    <row r="48" s="2" customFormat="1" ht="20.100000000000001" customHeight="1" x14ac:dyDescent="0.15"/>
    <row r="49" s="2" customFormat="1" ht="20.100000000000001" customHeight="1" x14ac:dyDescent="0.15"/>
    <row r="50" s="2" customFormat="1" ht="20.100000000000001" customHeight="1" x14ac:dyDescent="0.15"/>
    <row r="51" s="2" customFormat="1" ht="20.100000000000001" customHeight="1" x14ac:dyDescent="0.15"/>
    <row r="52" s="2" customFormat="1" ht="20.100000000000001" customHeight="1" x14ac:dyDescent="0.15"/>
    <row r="53" s="2" customFormat="1" ht="20.100000000000001" customHeight="1" x14ac:dyDescent="0.15"/>
    <row r="54" s="2" customFormat="1" ht="20.100000000000001" customHeight="1" x14ac:dyDescent="0.15"/>
    <row r="55" s="2" customFormat="1" ht="20.100000000000001" customHeight="1" x14ac:dyDescent="0.15"/>
    <row r="56" s="2" customFormat="1" ht="20.100000000000001" customHeight="1" x14ac:dyDescent="0.15"/>
    <row r="57" s="2" customFormat="1" ht="20.100000000000001" customHeight="1" x14ac:dyDescent="0.15"/>
    <row r="58" s="2" customFormat="1" ht="20.100000000000001" customHeight="1" x14ac:dyDescent="0.15"/>
    <row r="59" s="2" customFormat="1" ht="20.100000000000001" customHeight="1" x14ac:dyDescent="0.15"/>
    <row r="60" s="2" customFormat="1" ht="20.100000000000001" customHeight="1" x14ac:dyDescent="0.15"/>
    <row r="61" s="2" customFormat="1" ht="20.100000000000001" customHeight="1" x14ac:dyDescent="0.15"/>
    <row r="62" s="2" customFormat="1" ht="20.100000000000001" customHeight="1" x14ac:dyDescent="0.15"/>
    <row r="63" s="2" customFormat="1" ht="20.100000000000001" customHeight="1" x14ac:dyDescent="0.15"/>
    <row r="64" s="2" customFormat="1" ht="20.100000000000001" customHeight="1" x14ac:dyDescent="0.15"/>
    <row r="65" s="2" customFormat="1" ht="20.100000000000001" customHeight="1" x14ac:dyDescent="0.15"/>
    <row r="66" s="2" customFormat="1" ht="20.100000000000001" customHeight="1" x14ac:dyDescent="0.15"/>
    <row r="67" s="2" customFormat="1" ht="20.100000000000001" customHeight="1" x14ac:dyDescent="0.15"/>
    <row r="68" s="2" customFormat="1" ht="20.100000000000001" customHeight="1" x14ac:dyDescent="0.15"/>
    <row r="69" s="2" customFormat="1" ht="20.100000000000001" customHeight="1" x14ac:dyDescent="0.15"/>
    <row r="70" s="2" customFormat="1" ht="20.100000000000001" customHeight="1" x14ac:dyDescent="0.15"/>
    <row r="71" s="2" customFormat="1" ht="20.100000000000001" customHeight="1" x14ac:dyDescent="0.15"/>
    <row r="72" s="2" customFormat="1" ht="20.100000000000001" customHeight="1" x14ac:dyDescent="0.15"/>
    <row r="73" s="2" customFormat="1" ht="20.100000000000001" customHeight="1" x14ac:dyDescent="0.15"/>
    <row r="74" s="2" customFormat="1" ht="20.100000000000001" customHeight="1" x14ac:dyDescent="0.15"/>
    <row r="75" s="2" customFormat="1" ht="20.100000000000001" customHeight="1" x14ac:dyDescent="0.15"/>
    <row r="76" s="2" customFormat="1" ht="20.100000000000001" customHeight="1" x14ac:dyDescent="0.15"/>
    <row r="77" s="2" customFormat="1" ht="20.100000000000001" customHeight="1" x14ac:dyDescent="0.15"/>
    <row r="78" s="2" customFormat="1" ht="20.100000000000001" customHeight="1" x14ac:dyDescent="0.15"/>
    <row r="79" s="2" customFormat="1" ht="20.100000000000001" customHeight="1" x14ac:dyDescent="0.15"/>
    <row r="80" s="2" customFormat="1" ht="20.100000000000001" customHeight="1" x14ac:dyDescent="0.15"/>
    <row r="81" s="2" customFormat="1" ht="20.100000000000001" customHeight="1" x14ac:dyDescent="0.15"/>
    <row r="82" s="2" customFormat="1" ht="20.100000000000001" customHeight="1" x14ac:dyDescent="0.15"/>
    <row r="83" s="2" customFormat="1" ht="20.100000000000001" customHeight="1" x14ac:dyDescent="0.15"/>
    <row r="84" s="2" customFormat="1" ht="20.100000000000001" customHeight="1" x14ac:dyDescent="0.15"/>
    <row r="85" s="2" customFormat="1" ht="20.100000000000001" customHeight="1" x14ac:dyDescent="0.15"/>
    <row r="86" s="2" customFormat="1" ht="20.100000000000001" customHeight="1" x14ac:dyDescent="0.15"/>
    <row r="87" s="2" customFormat="1" ht="20.100000000000001" customHeight="1" x14ac:dyDescent="0.15"/>
    <row r="88" s="2" customFormat="1" ht="20.100000000000001" customHeight="1" x14ac:dyDescent="0.15"/>
    <row r="89" s="2" customFormat="1" ht="20.100000000000001" customHeight="1" x14ac:dyDescent="0.15"/>
    <row r="90" s="2" customFormat="1" ht="20.100000000000001" customHeight="1" x14ac:dyDescent="0.15"/>
    <row r="91" s="2" customFormat="1" ht="20.100000000000001" customHeight="1" x14ac:dyDescent="0.15"/>
    <row r="92" s="2" customFormat="1" ht="20.100000000000001" customHeight="1" x14ac:dyDescent="0.15"/>
    <row r="93" s="2" customFormat="1" ht="20.100000000000001" customHeight="1" x14ac:dyDescent="0.15"/>
    <row r="94" s="2" customFormat="1" ht="20.100000000000001" customHeight="1" x14ac:dyDescent="0.15"/>
    <row r="95" s="2" customFormat="1" ht="20.100000000000001" customHeight="1" x14ac:dyDescent="0.15"/>
    <row r="96" s="2" customFormat="1" ht="20.100000000000001" customHeight="1" x14ac:dyDescent="0.15"/>
    <row r="97" s="2" customFormat="1" ht="20.100000000000001" customHeight="1" x14ac:dyDescent="0.15"/>
    <row r="98" s="2" customFormat="1" ht="20.100000000000001" customHeight="1" x14ac:dyDescent="0.15"/>
    <row r="99" s="2" customFormat="1" ht="20.100000000000001" customHeight="1" x14ac:dyDescent="0.15"/>
    <row r="100" s="2" customFormat="1" ht="20.100000000000001" customHeight="1" x14ac:dyDescent="0.15"/>
    <row r="101" s="2" customFormat="1" ht="20.100000000000001" customHeight="1" x14ac:dyDescent="0.15"/>
    <row r="102" s="2" customFormat="1" ht="20.100000000000001" customHeight="1" x14ac:dyDescent="0.15"/>
    <row r="103" s="2" customFormat="1" ht="20.100000000000001" customHeight="1" x14ac:dyDescent="0.15"/>
    <row r="104" s="2" customFormat="1" ht="20.100000000000001" customHeight="1" x14ac:dyDescent="0.15"/>
    <row r="105" s="2" customFormat="1" ht="20.100000000000001" customHeight="1" x14ac:dyDescent="0.15"/>
    <row r="106" s="2" customFormat="1" ht="20.100000000000001" customHeight="1" x14ac:dyDescent="0.15"/>
    <row r="107" s="2" customFormat="1" ht="20.100000000000001" customHeight="1" x14ac:dyDescent="0.15"/>
    <row r="108" s="2" customFormat="1" ht="20.100000000000001" customHeight="1" x14ac:dyDescent="0.15"/>
    <row r="109" s="2" customFormat="1" ht="20.100000000000001" customHeight="1" x14ac:dyDescent="0.15"/>
    <row r="110" s="2" customFormat="1" ht="20.100000000000001" customHeight="1" x14ac:dyDescent="0.15"/>
    <row r="111" s="2" customFormat="1" ht="20.100000000000001" customHeight="1" x14ac:dyDescent="0.15"/>
    <row r="112" s="2" customFormat="1" ht="20.100000000000001" customHeight="1" x14ac:dyDescent="0.15"/>
    <row r="113" s="2" customFormat="1" ht="20.100000000000001" customHeight="1" x14ac:dyDescent="0.15"/>
    <row r="114" s="2" customFormat="1" ht="20.100000000000001" customHeight="1" x14ac:dyDescent="0.15"/>
    <row r="115" s="2" customFormat="1" ht="20.100000000000001" customHeight="1" x14ac:dyDescent="0.15"/>
    <row r="116" s="2" customFormat="1" ht="20.100000000000001" customHeight="1" x14ac:dyDescent="0.15"/>
    <row r="117" s="2" customFormat="1" ht="20.100000000000001" customHeight="1" x14ac:dyDescent="0.15"/>
    <row r="118" s="2" customFormat="1" ht="20.100000000000001" customHeight="1" x14ac:dyDescent="0.15"/>
    <row r="119" s="2" customFormat="1" ht="20.100000000000001" customHeight="1" x14ac:dyDescent="0.15"/>
    <row r="120" s="2" customFormat="1" ht="20.100000000000001" customHeight="1" x14ac:dyDescent="0.15"/>
    <row r="121" s="2" customFormat="1" ht="20.100000000000001" customHeight="1" x14ac:dyDescent="0.15"/>
    <row r="122" s="2" customFormat="1" ht="20.100000000000001" customHeight="1" x14ac:dyDescent="0.15"/>
    <row r="123" s="2" customFormat="1" ht="20.100000000000001" customHeight="1" x14ac:dyDescent="0.15"/>
    <row r="124" s="2" customFormat="1" ht="20.100000000000001" customHeight="1" x14ac:dyDescent="0.15"/>
    <row r="125" s="2" customFormat="1" ht="20.100000000000001" customHeight="1" x14ac:dyDescent="0.15"/>
    <row r="126" s="2" customFormat="1" ht="20.100000000000001" customHeight="1" x14ac:dyDescent="0.15"/>
    <row r="127" s="2" customFormat="1" ht="20.100000000000001" customHeight="1" x14ac:dyDescent="0.15"/>
    <row r="128" s="2" customFormat="1" ht="20.100000000000001" customHeight="1" x14ac:dyDescent="0.15"/>
    <row r="129" s="2" customFormat="1" ht="20.100000000000001" customHeight="1" x14ac:dyDescent="0.15"/>
    <row r="130" s="2" customFormat="1" ht="20.100000000000001" customHeight="1" x14ac:dyDescent="0.15"/>
    <row r="131" s="2" customFormat="1" ht="20.100000000000001" customHeight="1" x14ac:dyDescent="0.15"/>
    <row r="132" s="2" customFormat="1" ht="20.100000000000001" customHeight="1" x14ac:dyDescent="0.15"/>
    <row r="133" s="2" customFormat="1" ht="20.100000000000001" customHeight="1" x14ac:dyDescent="0.15"/>
    <row r="134" s="2" customFormat="1" ht="20.100000000000001" customHeight="1" x14ac:dyDescent="0.15"/>
    <row r="135" s="2" customFormat="1" ht="20.100000000000001" customHeight="1" x14ac:dyDescent="0.15"/>
    <row r="136" s="2" customFormat="1" ht="20.100000000000001" customHeight="1" x14ac:dyDescent="0.15"/>
    <row r="137" s="2" customFormat="1" ht="20.100000000000001" customHeight="1" x14ac:dyDescent="0.15"/>
    <row r="138" s="2" customFormat="1" ht="20.100000000000001" customHeight="1" x14ac:dyDescent="0.15"/>
    <row r="139" s="2" customFormat="1" ht="20.100000000000001" customHeight="1" x14ac:dyDescent="0.15"/>
    <row r="140" s="2" customFormat="1" ht="20.100000000000001" customHeight="1" x14ac:dyDescent="0.15"/>
    <row r="141" s="2" customFormat="1" ht="20.100000000000001" customHeight="1" x14ac:dyDescent="0.15"/>
    <row r="142" s="3" customFormat="1" ht="20.100000000000001" customHeight="1" x14ac:dyDescent="0.15"/>
    <row r="143" s="3" customFormat="1"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sheetData>
  <sheetProtection algorithmName="SHA-512" hashValue="AwZIu8nrTEhwt3kMmauhbyqd0GUHmwqKpUXAdkf8o2WbR3cVb2d/ChwO1PTDPm1wS5ZW4FN3NgPHekjENj48WQ==" saltValue="Ta3ZoiZ5c0SVHo1BOLSZYA==" spinCount="100000" sheet="1" selectLockedCells="1"/>
  <mergeCells count="50">
    <mergeCell ref="AB12:AC12"/>
    <mergeCell ref="X12:AA12"/>
    <mergeCell ref="O12:W12"/>
    <mergeCell ref="AB11:AC11"/>
    <mergeCell ref="O11:W11"/>
    <mergeCell ref="X11:AA11"/>
    <mergeCell ref="AO5:AP5"/>
    <mergeCell ref="AQ5:AR5"/>
    <mergeCell ref="AG5:AH5"/>
    <mergeCell ref="AI5:AJ5"/>
    <mergeCell ref="AK5:AL5"/>
    <mergeCell ref="AM5:AN5"/>
    <mergeCell ref="B18:I18"/>
    <mergeCell ref="J18:L18"/>
    <mergeCell ref="B17:I17"/>
    <mergeCell ref="J17:L17"/>
    <mergeCell ref="AA16:AC16"/>
    <mergeCell ref="AA17:AC17"/>
    <mergeCell ref="AA20:AC20"/>
    <mergeCell ref="AA21:AC21"/>
    <mergeCell ref="AA18:AC18"/>
    <mergeCell ref="AA19:AC19"/>
    <mergeCell ref="O18:Q18"/>
    <mergeCell ref="R18:S18"/>
    <mergeCell ref="T18:X18"/>
    <mergeCell ref="B2:AC2"/>
    <mergeCell ref="B3:AC3"/>
    <mergeCell ref="AA7:AC7"/>
    <mergeCell ref="X7:Z7"/>
    <mergeCell ref="B6:I6"/>
    <mergeCell ref="T6:V6"/>
    <mergeCell ref="K6:S6"/>
    <mergeCell ref="B7:I7"/>
    <mergeCell ref="K7:W7"/>
    <mergeCell ref="X4:AC4"/>
    <mergeCell ref="W6:AC6"/>
    <mergeCell ref="B11:I11"/>
    <mergeCell ref="M12:N12"/>
    <mergeCell ref="J12:L12"/>
    <mergeCell ref="J11:L11"/>
    <mergeCell ref="M11:N11"/>
    <mergeCell ref="M17:N17"/>
    <mergeCell ref="O17:Q17"/>
    <mergeCell ref="O16:S16"/>
    <mergeCell ref="T16:X16"/>
    <mergeCell ref="B12:I12"/>
    <mergeCell ref="J16:N16"/>
    <mergeCell ref="R17:S17"/>
    <mergeCell ref="T17:X17"/>
    <mergeCell ref="B16:I16"/>
  </mergeCells>
  <phoneticPr fontId="4"/>
  <conditionalFormatting sqref="J11:L12">
    <cfRule type="expression" dxfId="223" priority="16">
      <formula>$AH$3&lt;&gt;2</formula>
    </cfRule>
  </conditionalFormatting>
  <conditionalFormatting sqref="J17:L18">
    <cfRule type="expression" dxfId="222" priority="11">
      <formula>$AH$3&lt;&gt;2</formula>
    </cfRule>
  </conditionalFormatting>
  <conditionalFormatting sqref="K6:S6">
    <cfRule type="expression" dxfId="221" priority="46" stopIfTrue="1">
      <formula>$AH$3&lt;&gt;2</formula>
    </cfRule>
  </conditionalFormatting>
  <conditionalFormatting sqref="K7:W7">
    <cfRule type="expression" dxfId="220" priority="26" stopIfTrue="1">
      <formula>$AH$3&lt;&gt;2</formula>
    </cfRule>
  </conditionalFormatting>
  <conditionalFormatting sqref="O17:Q18">
    <cfRule type="expression" dxfId="219" priority="10">
      <formula>$AH$3&lt;&gt;2</formula>
    </cfRule>
  </conditionalFormatting>
  <conditionalFormatting sqref="T17:X18">
    <cfRule type="expression" dxfId="218" priority="2">
      <formula>$AH$3&lt;&gt;2</formula>
    </cfRule>
  </conditionalFormatting>
  <conditionalFormatting sqref="W6:AC6">
    <cfRule type="expression" dxfId="217" priority="39" stopIfTrue="1">
      <formula>$AH$3&lt;&gt;2</formula>
    </cfRule>
  </conditionalFormatting>
  <conditionalFormatting sqref="X11:AA12">
    <cfRule type="expression" dxfId="216" priority="15">
      <formula>$AH$3&lt;&gt;2</formula>
    </cfRule>
  </conditionalFormatting>
  <conditionalFormatting sqref="X4:AC4">
    <cfRule type="expression" dxfId="215" priority="1">
      <formula>$AH$3&lt;&gt;2</formula>
    </cfRule>
  </conditionalFormatting>
  <conditionalFormatting sqref="Z16:Z21">
    <cfRule type="expression" dxfId="214" priority="7" stopIfTrue="1">
      <formula>$AH$3&lt;&gt;2</formula>
    </cfRule>
  </conditionalFormatting>
  <conditionalFormatting sqref="AA7:AC7">
    <cfRule type="expression" dxfId="213" priority="23" stopIfTrue="1">
      <formula>$AH$3&lt;&gt;2</formula>
    </cfRule>
  </conditionalFormatting>
  <conditionalFormatting sqref="AF7:AR14">
    <cfRule type="expression" dxfId="212" priority="3">
      <formula>$AA$7=$AF7</formula>
    </cfRule>
  </conditionalFormatting>
  <dataValidations disablePrompts="1" count="1">
    <dataValidation type="list" allowBlank="1" showInputMessage="1" showErrorMessage="1" sqref="AA7:AC7" xr:uid="{00000000-0002-0000-0000-000000000000}">
      <formula1>"１地域,２地域,３地域,４地域,５地域,６地域,７地域,８地域"</formula1>
    </dataValidation>
  </dataValidations>
  <pageMargins left="0.70866141732283472" right="0.70866141732283472" top="0.74803149606299213" bottom="0.74803149606299213" header="0.31496062992125984" footer="0.31496062992125984"/>
  <pageSetup paperSize="9" scale="81"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72" r:id="rId4" name="Group Box 40">
              <controlPr defaultSize="0" autoFill="0" autoPict="0">
                <anchor moveWithCells="1">
                  <from>
                    <xdr:col>45</xdr:col>
                    <xdr:colOff>0</xdr:colOff>
                    <xdr:row>20</xdr:row>
                    <xdr:rowOff>0</xdr:rowOff>
                  </from>
                  <to>
                    <xdr:col>70</xdr:col>
                    <xdr:colOff>152400</xdr:colOff>
                    <xdr:row>24</xdr:row>
                    <xdr:rowOff>9525</xdr:rowOff>
                  </to>
                </anchor>
              </controlPr>
            </control>
          </mc:Choice>
        </mc:AlternateContent>
        <mc:AlternateContent xmlns:mc="http://schemas.openxmlformats.org/markup-compatibility/2006">
          <mc:Choice Requires="x14">
            <control shapeId="69673" r:id="rId5" name="Option Button 41">
              <controlPr locked="0" defaultSize="0" autoFill="0" autoLine="0" autoPict="0">
                <anchor moveWithCells="1">
                  <from>
                    <xdr:col>47</xdr:col>
                    <xdr:colOff>247650</xdr:colOff>
                    <xdr:row>21</xdr:row>
                    <xdr:rowOff>352425</xdr:rowOff>
                  </from>
                  <to>
                    <xdr:col>48</xdr:col>
                    <xdr:colOff>266700</xdr:colOff>
                    <xdr:row>23</xdr:row>
                    <xdr:rowOff>180975</xdr:rowOff>
                  </to>
                </anchor>
              </controlPr>
            </control>
          </mc:Choice>
        </mc:AlternateContent>
        <mc:AlternateContent xmlns:mc="http://schemas.openxmlformats.org/markup-compatibility/2006">
          <mc:Choice Requires="x14">
            <control shapeId="69674" r:id="rId6" name="Option Button 42">
              <controlPr locked="0" defaultSize="0" autoFill="0" autoLine="0" autoPict="0">
                <anchor moveWithCells="1">
                  <from>
                    <xdr:col>58</xdr:col>
                    <xdr:colOff>76200</xdr:colOff>
                    <xdr:row>22</xdr:row>
                    <xdr:rowOff>47625</xdr:rowOff>
                  </from>
                  <to>
                    <xdr:col>59</xdr:col>
                    <xdr:colOff>123825</xdr:colOff>
                    <xdr:row>23</xdr:row>
                    <xdr:rowOff>123825</xdr:rowOff>
                  </to>
                </anchor>
              </controlPr>
            </control>
          </mc:Choice>
        </mc:AlternateContent>
        <mc:AlternateContent xmlns:mc="http://schemas.openxmlformats.org/markup-compatibility/2006">
          <mc:Choice Requires="x14">
            <control shapeId="69675" r:id="rId7" name="Group Box 43">
              <controlPr locked="0" defaultSize="0" autoFill="0" autoPict="0">
                <anchor moveWithCells="1">
                  <from>
                    <xdr:col>46</xdr:col>
                    <xdr:colOff>247650</xdr:colOff>
                    <xdr:row>21</xdr:row>
                    <xdr:rowOff>247650</xdr:rowOff>
                  </from>
                  <to>
                    <xdr:col>60</xdr:col>
                    <xdr:colOff>152400</xdr:colOff>
                    <xdr:row>24</xdr:row>
                    <xdr:rowOff>333375</xdr:rowOff>
                  </to>
                </anchor>
              </controlPr>
            </control>
          </mc:Choice>
        </mc:AlternateContent>
        <mc:AlternateContent xmlns:mc="http://schemas.openxmlformats.org/markup-compatibility/2006">
          <mc:Choice Requires="x14">
            <control shapeId="69670" r:id="rId8" name="Option Button 38">
              <controlPr locked="0" defaultSize="0" autoFill="0" autoLine="0" autoPict="0">
                <anchor moveWithCells="1">
                  <from>
                    <xdr:col>25</xdr:col>
                    <xdr:colOff>28575</xdr:colOff>
                    <xdr:row>15</xdr:row>
                    <xdr:rowOff>95250</xdr:rowOff>
                  </from>
                  <to>
                    <xdr:col>25</xdr:col>
                    <xdr:colOff>247650</xdr:colOff>
                    <xdr:row>15</xdr:row>
                    <xdr:rowOff>295275</xdr:rowOff>
                  </to>
                </anchor>
              </controlPr>
            </control>
          </mc:Choice>
        </mc:AlternateContent>
        <mc:AlternateContent xmlns:mc="http://schemas.openxmlformats.org/markup-compatibility/2006">
          <mc:Choice Requires="x14">
            <control shapeId="69676" r:id="rId9" name="Option Button 44">
              <controlPr locked="0" defaultSize="0" autoFill="0" autoLine="0" autoPict="0">
                <anchor moveWithCells="1">
                  <from>
                    <xdr:col>25</xdr:col>
                    <xdr:colOff>28575</xdr:colOff>
                    <xdr:row>16</xdr:row>
                    <xdr:rowOff>104775</xdr:rowOff>
                  </from>
                  <to>
                    <xdr:col>25</xdr:col>
                    <xdr:colOff>257175</xdr:colOff>
                    <xdr:row>16</xdr:row>
                    <xdr:rowOff>304800</xdr:rowOff>
                  </to>
                </anchor>
              </controlPr>
            </control>
          </mc:Choice>
        </mc:AlternateContent>
        <mc:AlternateContent xmlns:mc="http://schemas.openxmlformats.org/markup-compatibility/2006">
          <mc:Choice Requires="x14">
            <control shapeId="69677" r:id="rId10" name="Option Button 45">
              <controlPr locked="0" defaultSize="0" autoFill="0" autoLine="0" autoPict="0">
                <anchor moveWithCells="1">
                  <from>
                    <xdr:col>25</xdr:col>
                    <xdr:colOff>28575</xdr:colOff>
                    <xdr:row>17</xdr:row>
                    <xdr:rowOff>104775</xdr:rowOff>
                  </from>
                  <to>
                    <xdr:col>25</xdr:col>
                    <xdr:colOff>257175</xdr:colOff>
                    <xdr:row>17</xdr:row>
                    <xdr:rowOff>304800</xdr:rowOff>
                  </to>
                </anchor>
              </controlPr>
            </control>
          </mc:Choice>
        </mc:AlternateContent>
        <mc:AlternateContent xmlns:mc="http://schemas.openxmlformats.org/markup-compatibility/2006">
          <mc:Choice Requires="x14">
            <control shapeId="69668" r:id="rId11" name="Option Button 36">
              <controlPr locked="0" defaultSize="0" autoFill="0" autoLine="0" autoPict="0">
                <anchor moveWithCells="1">
                  <from>
                    <xdr:col>25</xdr:col>
                    <xdr:colOff>28575</xdr:colOff>
                    <xdr:row>18</xdr:row>
                    <xdr:rowOff>95250</xdr:rowOff>
                  </from>
                  <to>
                    <xdr:col>25</xdr:col>
                    <xdr:colOff>247650</xdr:colOff>
                    <xdr:row>18</xdr:row>
                    <xdr:rowOff>295275</xdr:rowOff>
                  </to>
                </anchor>
              </controlPr>
            </control>
          </mc:Choice>
        </mc:AlternateContent>
        <mc:AlternateContent xmlns:mc="http://schemas.openxmlformats.org/markup-compatibility/2006">
          <mc:Choice Requires="x14">
            <control shapeId="69669" r:id="rId12" name="Option Button 37">
              <controlPr locked="0" defaultSize="0" autoFill="0" autoLine="0" autoPict="0">
                <anchor moveWithCells="1">
                  <from>
                    <xdr:col>25</xdr:col>
                    <xdr:colOff>28575</xdr:colOff>
                    <xdr:row>19</xdr:row>
                    <xdr:rowOff>95250</xdr:rowOff>
                  </from>
                  <to>
                    <xdr:col>25</xdr:col>
                    <xdr:colOff>247650</xdr:colOff>
                    <xdr:row>19</xdr:row>
                    <xdr:rowOff>295275</xdr:rowOff>
                  </to>
                </anchor>
              </controlPr>
            </control>
          </mc:Choice>
        </mc:AlternateContent>
        <mc:AlternateContent xmlns:mc="http://schemas.openxmlformats.org/markup-compatibility/2006">
          <mc:Choice Requires="x14">
            <control shapeId="69682" r:id="rId13" name="Group Box 50">
              <controlPr locked="0" defaultSize="0" autoFill="0" autoPict="0">
                <anchor moveWithCells="1">
                  <from>
                    <xdr:col>47</xdr:col>
                    <xdr:colOff>123825</xdr:colOff>
                    <xdr:row>22</xdr:row>
                    <xdr:rowOff>19050</xdr:rowOff>
                  </from>
                  <to>
                    <xdr:col>61</xdr:col>
                    <xdr:colOff>28575</xdr:colOff>
                    <xdr:row>25</xdr:row>
                    <xdr:rowOff>104775</xdr:rowOff>
                  </to>
                </anchor>
              </controlPr>
            </control>
          </mc:Choice>
        </mc:AlternateContent>
        <mc:AlternateContent xmlns:mc="http://schemas.openxmlformats.org/markup-compatibility/2006">
          <mc:Choice Requires="x14">
            <control shapeId="69684" r:id="rId14" name="Option Button 52">
              <controlPr locked="0" defaultSize="0" autoFill="0" autoLine="0" autoPict="0">
                <anchor moveWithCells="1">
                  <from>
                    <xdr:col>25</xdr:col>
                    <xdr:colOff>28575</xdr:colOff>
                    <xdr:row>20</xdr:row>
                    <xdr:rowOff>85725</xdr:rowOff>
                  </from>
                  <to>
                    <xdr:col>25</xdr:col>
                    <xdr:colOff>247650</xdr:colOff>
                    <xdr:row>20</xdr:row>
                    <xdr:rowOff>285750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V257"/>
  <sheetViews>
    <sheetView workbookViewId="0"/>
  </sheetViews>
  <sheetFormatPr defaultRowHeight="13.5" x14ac:dyDescent="0.15"/>
  <cols>
    <col min="1" max="1" width="0.875" customWidth="1"/>
    <col min="2" max="3" width="4.125" customWidth="1"/>
    <col min="4" max="5" width="6.375" customWidth="1"/>
    <col min="6" max="27" width="3.625" customWidth="1"/>
    <col min="28" max="28" width="2.75" customWidth="1"/>
    <col min="29" max="30" width="3.625" customWidth="1"/>
    <col min="31" max="31" width="2.375" customWidth="1"/>
    <col min="32" max="32" width="3.625" customWidth="1"/>
    <col min="33" max="33" width="0.875" customWidth="1"/>
    <col min="34" max="34" width="3.625" hidden="1" customWidth="1"/>
    <col min="35" max="35" width="11.25" hidden="1" customWidth="1"/>
    <col min="36" max="36" width="5.625" hidden="1" customWidth="1"/>
    <col min="37" max="37" width="9.25" hidden="1" customWidth="1"/>
    <col min="38" max="38" width="7.5" hidden="1" customWidth="1"/>
    <col min="39" max="39" width="9" hidden="1" customWidth="1"/>
    <col min="40" max="40" width="9.25" hidden="1" customWidth="1"/>
    <col min="41" max="42" width="7.75" hidden="1" customWidth="1"/>
    <col min="43" max="44" width="6.875" hidden="1" customWidth="1"/>
    <col min="45" max="46" width="7.75" hidden="1" customWidth="1"/>
    <col min="47" max="47" width="6.875" hidden="1" customWidth="1"/>
    <col min="48" max="48" width="9" hidden="1" customWidth="1"/>
    <col min="49" max="49" width="9" customWidth="1"/>
  </cols>
  <sheetData>
    <row r="1" spans="2:48" ht="5.0999999999999996" customHeight="1" x14ac:dyDescent="0.15"/>
    <row r="2" spans="2:48" ht="30" customHeight="1" x14ac:dyDescent="0.15">
      <c r="B2" s="421" t="s">
        <v>92</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H2" s="24" t="s">
        <v>376</v>
      </c>
    </row>
    <row r="3" spans="2:48" ht="24.95" customHeight="1" thickBot="1" x14ac:dyDescent="0.2">
      <c r="B3" s="23" t="s">
        <v>71</v>
      </c>
      <c r="AH3" s="24">
        <f>共通条件・結果!AH3</f>
        <v>1</v>
      </c>
    </row>
    <row r="4" spans="2:48" ht="22.5" customHeight="1" x14ac:dyDescent="0.15">
      <c r="B4" s="556" t="s">
        <v>74</v>
      </c>
      <c r="C4" s="557"/>
      <c r="D4" s="562" t="s">
        <v>93</v>
      </c>
      <c r="E4" s="562"/>
      <c r="F4" s="562" t="s">
        <v>293</v>
      </c>
      <c r="G4" s="562"/>
      <c r="H4" s="267" t="s">
        <v>294</v>
      </c>
      <c r="I4" s="227"/>
      <c r="J4" s="277" t="s">
        <v>72</v>
      </c>
      <c r="K4" s="278"/>
      <c r="L4" s="277" t="s">
        <v>176</v>
      </c>
      <c r="M4" s="278"/>
      <c r="N4" s="277" t="s">
        <v>147</v>
      </c>
      <c r="O4" s="278"/>
      <c r="P4" s="565" t="s">
        <v>24</v>
      </c>
      <c r="Q4" s="566"/>
      <c r="R4" s="566"/>
      <c r="S4" s="567"/>
      <c r="T4" s="267" t="s">
        <v>285</v>
      </c>
      <c r="U4" s="227"/>
      <c r="V4" s="267" t="s">
        <v>286</v>
      </c>
      <c r="W4" s="227"/>
      <c r="X4" s="267" t="s">
        <v>266</v>
      </c>
      <c r="Y4" s="228"/>
      <c r="Z4" s="277" t="s">
        <v>73</v>
      </c>
      <c r="AA4" s="349"/>
      <c r="AB4" s="349"/>
      <c r="AC4" s="349"/>
      <c r="AD4" s="349"/>
      <c r="AE4" s="349"/>
      <c r="AF4" s="553"/>
      <c r="AN4" t="s">
        <v>2</v>
      </c>
    </row>
    <row r="5" spans="2:48" ht="22.5" customHeight="1" x14ac:dyDescent="0.15">
      <c r="B5" s="558"/>
      <c r="C5" s="559"/>
      <c r="D5" s="563"/>
      <c r="E5" s="563"/>
      <c r="F5" s="563"/>
      <c r="G5" s="563"/>
      <c r="H5" s="269"/>
      <c r="I5" s="269"/>
      <c r="J5" s="279"/>
      <c r="K5" s="280"/>
      <c r="L5" s="279"/>
      <c r="M5" s="280"/>
      <c r="N5" s="279"/>
      <c r="O5" s="280"/>
      <c r="P5" s="382" t="s">
        <v>2</v>
      </c>
      <c r="Q5" s="383"/>
      <c r="R5" s="382" t="s">
        <v>11</v>
      </c>
      <c r="S5" s="383"/>
      <c r="T5" s="268"/>
      <c r="U5" s="269"/>
      <c r="V5" s="268"/>
      <c r="W5" s="269"/>
      <c r="X5" s="269"/>
      <c r="Y5" s="414"/>
      <c r="Z5" s="279"/>
      <c r="AA5" s="350"/>
      <c r="AB5" s="350"/>
      <c r="AC5" s="350"/>
      <c r="AD5" s="350"/>
      <c r="AE5" s="350"/>
      <c r="AF5" s="554"/>
      <c r="AK5" t="s">
        <v>24</v>
      </c>
      <c r="AN5" s="539" t="s">
        <v>74</v>
      </c>
      <c r="AO5" s="541" t="s">
        <v>70</v>
      </c>
      <c r="AP5" s="542"/>
      <c r="AQ5" s="542"/>
      <c r="AR5" s="542"/>
      <c r="AS5" s="542"/>
      <c r="AT5" s="542"/>
      <c r="AU5" s="542"/>
      <c r="AV5" s="543"/>
    </row>
    <row r="6" spans="2:48" ht="22.5" customHeight="1" thickBot="1" x14ac:dyDescent="0.2">
      <c r="B6" s="560"/>
      <c r="C6" s="561"/>
      <c r="D6" s="564"/>
      <c r="E6" s="564"/>
      <c r="F6" s="564"/>
      <c r="G6" s="564"/>
      <c r="H6" s="270"/>
      <c r="I6" s="270"/>
      <c r="J6" s="281"/>
      <c r="K6" s="282"/>
      <c r="L6" s="281"/>
      <c r="M6" s="282"/>
      <c r="N6" s="281"/>
      <c r="O6" s="282"/>
      <c r="P6" s="281"/>
      <c r="Q6" s="282"/>
      <c r="R6" s="281"/>
      <c r="S6" s="282"/>
      <c r="T6" s="270"/>
      <c r="U6" s="270"/>
      <c r="V6" s="270"/>
      <c r="W6" s="270"/>
      <c r="X6" s="270"/>
      <c r="Y6" s="415"/>
      <c r="Z6" s="281"/>
      <c r="AA6" s="351"/>
      <c r="AB6" s="351"/>
      <c r="AC6" s="351"/>
      <c r="AD6" s="351"/>
      <c r="AE6" s="351"/>
      <c r="AF6" s="555"/>
      <c r="AI6" t="s">
        <v>130</v>
      </c>
      <c r="AK6" s="24" t="s">
        <v>87</v>
      </c>
      <c r="AL6" s="24" t="s">
        <v>11</v>
      </c>
      <c r="AN6" s="540"/>
      <c r="AO6" s="24" t="s">
        <v>135</v>
      </c>
      <c r="AP6" s="24" t="s">
        <v>136</v>
      </c>
      <c r="AQ6" s="24" t="s">
        <v>137</v>
      </c>
      <c r="AR6" s="24" t="s">
        <v>138</v>
      </c>
      <c r="AS6" s="24" t="s">
        <v>139</v>
      </c>
      <c r="AT6" s="24" t="s">
        <v>140</v>
      </c>
      <c r="AU6" s="24" t="s">
        <v>141</v>
      </c>
      <c r="AV6" s="24" t="s">
        <v>142</v>
      </c>
    </row>
    <row r="7" spans="2:48" ht="24.95" customHeight="1" x14ac:dyDescent="0.15">
      <c r="B7" s="547"/>
      <c r="C7" s="475"/>
      <c r="D7" s="544"/>
      <c r="E7" s="544"/>
      <c r="F7" s="289"/>
      <c r="G7" s="299"/>
      <c r="H7" s="250"/>
      <c r="I7" s="251"/>
      <c r="J7" s="451"/>
      <c r="K7" s="452"/>
      <c r="L7" s="535"/>
      <c r="M7" s="536"/>
      <c r="N7" s="252"/>
      <c r="O7" s="253"/>
      <c r="P7" s="533" t="str">
        <f>IF(OR($B$7="",F7=""),"",IF(OR(D7="屋根",D7="天井"),1,IF(OR(D7="ピット等",D7="その他床",D7="外気床"),0,VLOOKUP($B$7,$AJ$7:$AL$14,2,0))))</f>
        <v/>
      </c>
      <c r="Q7" s="534"/>
      <c r="R7" s="533" t="str">
        <f>IF(OR($B$7="",F7=""),"",IF(OR(D7="屋根",D7="天井"),1,IF(OR(D7="ピット等",D7="その他床",D7="外気床"),0,VLOOKUP($B$7,$AJ$7:$AL$14,3,0))))</f>
        <v/>
      </c>
      <c r="S7" s="534"/>
      <c r="T7" s="525" t="str">
        <f t="shared" ref="T7:T36" si="0">IF(F7="","",IF(AI7=FALSE,"0.0",F7*H7*0.034*P7/L7))</f>
        <v/>
      </c>
      <c r="U7" s="526"/>
      <c r="V7" s="525" t="str">
        <f>IF(ISERROR(R7/L7),"-",IF(F7="","",IF(AI7=FALSE,"0.0",F7*H7*0.034*R7/L7)))</f>
        <v>-</v>
      </c>
      <c r="W7" s="526"/>
      <c r="X7" s="551" t="str">
        <f t="shared" ref="X7:X36" si="1">IF(F7="","",F7*H7*J7/L7)</f>
        <v/>
      </c>
      <c r="Y7" s="552"/>
      <c r="Z7" s="528"/>
      <c r="AA7" s="529"/>
      <c r="AB7" s="529"/>
      <c r="AC7" s="529"/>
      <c r="AD7" s="529"/>
      <c r="AE7" s="529"/>
      <c r="AF7" s="530"/>
      <c r="AI7" s="39" t="b">
        <v>1</v>
      </c>
      <c r="AJ7" s="26" t="s">
        <v>143</v>
      </c>
      <c r="AK7" s="27">
        <f>IF(共通条件・結果!AA7="８地域","0.325",IF(共通条件・結果!AA7="７地域",0.307,IF(共通条件・結果!AA7="６地域",0.341,IF(共通条件・結果!AA7="５地域",0.373,IF(共通条件・結果!AA7="４地域",0.322,IF(共通条件・結果!AA7="３地域",0.335,IF(共通条件・結果!AA7="２地域",0.341,IF(共通条件・結果!AA7="１地域",0.329))))))))</f>
        <v>0.33500000000000002</v>
      </c>
      <c r="AL7" s="27">
        <f>IF(共通条件・結果!AA7="８地域","-",IF(共通条件・結果!AA7="７地域",0.227,IF(共通条件・結果!AA7="６地域",0.261,IF(共通条件・結果!AA7="５地域",0.238,IF(共通条件・結果!AA7="４地域",0.256,IF(共通条件・結果!AA7="３地域",0.284,IF(共通条件・結果!AA7="２地域",0.263,IF(共通条件・結果!AA7="１地域",0.26))))))))</f>
        <v>0.28399999999999997</v>
      </c>
      <c r="AN7" s="24" t="s">
        <v>75</v>
      </c>
      <c r="AO7" s="495">
        <v>1</v>
      </c>
      <c r="AP7" s="495"/>
      <c r="AQ7" s="495"/>
      <c r="AR7" s="495"/>
      <c r="AS7" s="495"/>
      <c r="AT7" s="495"/>
      <c r="AU7" s="495"/>
      <c r="AV7" s="495"/>
    </row>
    <row r="8" spans="2:48" ht="24.95" customHeight="1" x14ac:dyDescent="0.15">
      <c r="B8" s="548"/>
      <c r="C8" s="458"/>
      <c r="D8" s="504"/>
      <c r="E8" s="504"/>
      <c r="F8" s="289"/>
      <c r="G8" s="299"/>
      <c r="H8" s="289"/>
      <c r="I8" s="290"/>
      <c r="J8" s="409"/>
      <c r="K8" s="410"/>
      <c r="L8" s="512"/>
      <c r="M8" s="513"/>
      <c r="N8" s="254"/>
      <c r="O8" s="255"/>
      <c r="P8" s="505" t="str">
        <f>IF(OR($B$7="",F8=""),"",IF(OR(D8="屋根",D8="天井"),1,IF(OR(D8="ピット等",D8="その他床",D8="外気床"),0,VLOOKUP($B$7,$AJ$7:$AL$14,2,0))))</f>
        <v/>
      </c>
      <c r="Q8" s="506"/>
      <c r="R8" s="505" t="str">
        <f>IF(OR($B$7="",F8=""),"",IF(OR(D8="屋根",D8="天井"),1,IF(OR(D8="ピット等",D8="その他床",D8="外気床"),0,VLOOKUP($B$7,$AJ$7:$AL$14,3,0))))</f>
        <v/>
      </c>
      <c r="S8" s="506"/>
      <c r="T8" s="505" t="str">
        <f t="shared" si="0"/>
        <v/>
      </c>
      <c r="U8" s="506"/>
      <c r="V8" s="505" t="str">
        <f>IF(ISERROR(R8/L8),"-",IF(F8="","",IF(AI8=FALSE,"0.0",F8*H8*0.034*R8/L8)))</f>
        <v>-</v>
      </c>
      <c r="W8" s="506"/>
      <c r="X8" s="366" t="str">
        <f t="shared" si="1"/>
        <v/>
      </c>
      <c r="Y8" s="367"/>
      <c r="Z8" s="507"/>
      <c r="AA8" s="508"/>
      <c r="AB8" s="508"/>
      <c r="AC8" s="508"/>
      <c r="AD8" s="508"/>
      <c r="AE8" s="508"/>
      <c r="AF8" s="509"/>
      <c r="AI8" s="39" t="b">
        <v>1</v>
      </c>
      <c r="AJ8" s="26" t="s">
        <v>99</v>
      </c>
      <c r="AK8" s="27">
        <f>IF(共通条件・結果!AA7="８地域","0.414",IF(共通条件・結果!AA7="７地域",0.415,IF(共通条件・結果!AA7="６地域",0.431,IF(共通条件・結果!AA7="５地域",0.437,IF(共通条件・結果!AA7="４地域",0.426,IF(共通条件・結果!AA7="３地域",0.39,IF(共通条件・結果!AA7="２地域",0.412,IF(共通条件・結果!AA7="１地域",0.43))))))))</f>
        <v>0.39</v>
      </c>
      <c r="AL8" s="27">
        <f>IF(共通条件・結果!AA7="８地域","-",IF(共通条件・結果!AA7="７地域",0.281,IF(共通条件・結果!AA7="６地域",0.325,IF(共通条件・結果!AA7="５地域",0.31,IF(共通条件・結果!AA7="４地域",0.33,IF(共通条件・結果!AA7="３地域",0.348,IF(共通条件・結果!AA7="２地域",0.341,IF(共通条件・結果!AA7="１地域",0.333))))))))</f>
        <v>0.34799999999999998</v>
      </c>
      <c r="AN8" s="24" t="s">
        <v>76</v>
      </c>
      <c r="AO8" s="495"/>
      <c r="AP8" s="495"/>
      <c r="AQ8" s="495"/>
      <c r="AR8" s="495"/>
      <c r="AS8" s="495"/>
      <c r="AT8" s="495"/>
      <c r="AU8" s="495"/>
      <c r="AV8" s="495"/>
    </row>
    <row r="9" spans="2:48" ht="24.95" customHeight="1" x14ac:dyDescent="0.15">
      <c r="B9" s="548"/>
      <c r="C9" s="458"/>
      <c r="D9" s="504"/>
      <c r="E9" s="504"/>
      <c r="F9" s="289"/>
      <c r="G9" s="299"/>
      <c r="H9" s="289"/>
      <c r="I9" s="290"/>
      <c r="J9" s="409"/>
      <c r="K9" s="410"/>
      <c r="L9" s="512"/>
      <c r="M9" s="513"/>
      <c r="N9" s="254"/>
      <c r="O9" s="255"/>
      <c r="P9" s="505" t="str">
        <f>IF(OR($B$7="",F9=""),"",IF(OR(D9="屋根",D9="天井"),1,IF(OR(D9="ピット等",D9="その他床",D9="外気床"),0,VLOOKUP($B$7,$AJ$7:$AL$14,2,0))))</f>
        <v/>
      </c>
      <c r="Q9" s="506"/>
      <c r="R9" s="505" t="str">
        <f>IF(OR($B$7="",F9=""),"",IF(OR(D9="屋根",D9="天井"),1,IF(OR(D9="ピット等",D9="その他床",D9="外気床"),0,VLOOKUP($B$7,$AJ$7:$AL$14,3,0))))</f>
        <v/>
      </c>
      <c r="S9" s="506"/>
      <c r="T9" s="505" t="str">
        <f t="shared" si="0"/>
        <v/>
      </c>
      <c r="U9" s="506"/>
      <c r="V9" s="505" t="str">
        <f t="shared" ref="V9:V36" si="2">IF(ISERROR(R9/L9),"-",IF(F9="","",IF(AI9=FALSE,"0.0",F9*H9*0.034*R9/L9)))</f>
        <v>-</v>
      </c>
      <c r="W9" s="506"/>
      <c r="X9" s="366" t="str">
        <f t="shared" si="1"/>
        <v/>
      </c>
      <c r="Y9" s="367"/>
      <c r="Z9" s="507"/>
      <c r="AA9" s="508"/>
      <c r="AB9" s="508"/>
      <c r="AC9" s="508"/>
      <c r="AD9" s="508"/>
      <c r="AE9" s="508"/>
      <c r="AF9" s="509"/>
      <c r="AI9" s="39" t="b">
        <v>1</v>
      </c>
      <c r="AJ9" s="26" t="s">
        <v>94</v>
      </c>
      <c r="AK9" s="27">
        <f>IF(共通条件・結果!AA7="８地域","0.515",IF(共通条件・結果!AA7="７地域",0.509,IF(共通条件・結果!AA7="６地域",0.512,IF(共通条件・結果!AA7="５地域",0.5,IF(共通条件・結果!AA7="４地域",0.518,IF(共通条件・結果!AA7="３地域",0.468,IF(共通条件・結果!AA7="２地域",0.503,IF(共通条件・結果!AA7="１地域",0.545))))))))</f>
        <v>0.46800000000000003</v>
      </c>
      <c r="AL9" s="27">
        <f>IF(共通条件・結果!AA7="８地域","-",IF(共通条件・結果!AA7="７地域",0.543,IF(共通条件・結果!AA7="６地域",0.579,IF(共通条件・結果!AA7="５地域",0.568,IF(共通条件・結果!AA7="４地域",0.531,IF(共通条件・結果!AA7="３地域",0.54,IF(共通条件・結果!AA7="２地域",0.554,IF(共通条件・結果!AA7="１地域",0.564))))))))</f>
        <v>0.54</v>
      </c>
      <c r="AN9" s="24" t="s">
        <v>144</v>
      </c>
      <c r="AO9" s="25">
        <v>0.32900000000000001</v>
      </c>
      <c r="AP9" s="25">
        <v>0.34100000000000003</v>
      </c>
      <c r="AQ9" s="25">
        <v>0.33500000000000002</v>
      </c>
      <c r="AR9" s="25">
        <v>0.32200000000000001</v>
      </c>
      <c r="AS9" s="25">
        <v>0.373</v>
      </c>
      <c r="AT9" s="25">
        <v>0.34100000000000003</v>
      </c>
      <c r="AU9" s="25">
        <v>0.307</v>
      </c>
      <c r="AV9" s="25">
        <v>0.32500000000000001</v>
      </c>
    </row>
    <row r="10" spans="2:48" ht="24.95" customHeight="1" x14ac:dyDescent="0.15">
      <c r="B10" s="548"/>
      <c r="C10" s="458"/>
      <c r="D10" s="504"/>
      <c r="E10" s="504"/>
      <c r="F10" s="289"/>
      <c r="G10" s="299"/>
      <c r="H10" s="289"/>
      <c r="I10" s="290"/>
      <c r="J10" s="409"/>
      <c r="K10" s="410"/>
      <c r="L10" s="512"/>
      <c r="M10" s="513"/>
      <c r="N10" s="254"/>
      <c r="O10" s="255"/>
      <c r="P10" s="505" t="str">
        <f>IF(OR($B$7="",F10=""),"",IF(OR(D10="屋根",D10="天井"),1,IF(OR(D10="ピット等",D10="その他床",D10="外気床"),0,VLOOKUP($B$7,$AJ$7:$AL$14,2,0))))</f>
        <v/>
      </c>
      <c r="Q10" s="506"/>
      <c r="R10" s="505" t="str">
        <f>IF(OR($B$7="",F10=""),"",IF(OR(D10="屋根",D10="天井"),1,IF(OR(D10="ピット等",D10="その他床",D10="外気床"),0,VLOOKUP($B$7,$AJ$7:$AL$14,3,0))))</f>
        <v/>
      </c>
      <c r="S10" s="506"/>
      <c r="T10" s="505" t="str">
        <f t="shared" si="0"/>
        <v/>
      </c>
      <c r="U10" s="506"/>
      <c r="V10" s="505" t="str">
        <f t="shared" si="2"/>
        <v>-</v>
      </c>
      <c r="W10" s="506"/>
      <c r="X10" s="366" t="str">
        <f t="shared" si="1"/>
        <v/>
      </c>
      <c r="Y10" s="367"/>
      <c r="Z10" s="507"/>
      <c r="AA10" s="508"/>
      <c r="AB10" s="508"/>
      <c r="AC10" s="508"/>
      <c r="AD10" s="508"/>
      <c r="AE10" s="508"/>
      <c r="AF10" s="509"/>
      <c r="AI10" s="39" t="b">
        <v>1</v>
      </c>
      <c r="AJ10" s="26" t="s">
        <v>95</v>
      </c>
      <c r="AK10" s="27">
        <f>IF(共通条件・結果!AA7="８地域","0.528",IF(共通条件・結果!AA7="７地域",0.49,IF(共通条件・結果!AA7="６地域",0.498,IF(共通条件・結果!AA7="５地域",0.5,IF(共通条件・結果!AA7="４地域",0.508,IF(共通条件・結果!AA7="３地域",0.487,IF(共通条件・結果!AA7="２地域",0.527,IF(共通条件・結果!AA7="１地域",0.56))))))))</f>
        <v>0.48699999999999999</v>
      </c>
      <c r="AL10" s="27">
        <f>IF(共通条件・結果!AA7="８地域","-",IF(共通条件・結果!AA7="７地域",0.843,IF(共通条件・結果!AA7="６地域",0.833,IF(共通条件・結果!AA7="５地域",0.846,IF(共通条件・結果!AA7="４地域",0.724,IF(共通条件・結果!AA7="３地域",0.751,IF(共通条件・結果!AA7="２地域",0.766,IF(共通条件・結果!AA7="１地域",0.823))))))))</f>
        <v>0.751</v>
      </c>
      <c r="AN10" s="24" t="s">
        <v>78</v>
      </c>
      <c r="AO10" s="25">
        <v>0.43</v>
      </c>
      <c r="AP10" s="25">
        <v>0.41199999999999998</v>
      </c>
      <c r="AQ10" s="25">
        <v>0.39</v>
      </c>
      <c r="AR10" s="25">
        <v>0.42599999999999999</v>
      </c>
      <c r="AS10" s="25">
        <v>0.437</v>
      </c>
      <c r="AT10" s="25">
        <v>0.43099999999999999</v>
      </c>
      <c r="AU10" s="25">
        <v>0.41499999999999998</v>
      </c>
      <c r="AV10" s="25">
        <v>0.41399999999999998</v>
      </c>
    </row>
    <row r="11" spans="2:48" ht="24.95" customHeight="1" thickBot="1" x14ac:dyDescent="0.2">
      <c r="B11" s="549"/>
      <c r="C11" s="550"/>
      <c r="D11" s="496"/>
      <c r="E11" s="496"/>
      <c r="F11" s="242"/>
      <c r="G11" s="241"/>
      <c r="H11" s="242"/>
      <c r="I11" s="241"/>
      <c r="J11" s="483"/>
      <c r="K11" s="484"/>
      <c r="L11" s="537"/>
      <c r="M11" s="538"/>
      <c r="N11" s="254"/>
      <c r="O11" s="255"/>
      <c r="P11" s="499" t="str">
        <f>IF(OR($B$7="",F11=""),"",IF(OR(D11="屋根",D11="天井"),1,IF(OR(D11="ピット等",D11="その他床",D11="外気床"),0,VLOOKUP($B$7,$AJ$7:$AL$14,2,0))))</f>
        <v/>
      </c>
      <c r="Q11" s="500"/>
      <c r="R11" s="499" t="str">
        <f>IF(OR($B$7="",F11=""),"",IF(OR(D11="屋根",D11="天井"),1,IF(OR(D11="ピット等",D11="その他床",D11="外気床"),0,VLOOKUP($B$7,$AJ$7:$AL$14,3,0))))</f>
        <v/>
      </c>
      <c r="S11" s="500"/>
      <c r="T11" s="510" t="str">
        <f t="shared" si="0"/>
        <v/>
      </c>
      <c r="U11" s="511"/>
      <c r="V11" s="510" t="str">
        <f t="shared" si="2"/>
        <v>-</v>
      </c>
      <c r="W11" s="511"/>
      <c r="X11" s="545" t="str">
        <f t="shared" si="1"/>
        <v/>
      </c>
      <c r="Y11" s="546"/>
      <c r="Z11" s="501"/>
      <c r="AA11" s="502"/>
      <c r="AB11" s="502"/>
      <c r="AC11" s="502"/>
      <c r="AD11" s="502"/>
      <c r="AE11" s="502"/>
      <c r="AF11" s="503"/>
      <c r="AI11" s="39" t="b">
        <v>1</v>
      </c>
      <c r="AJ11" s="26" t="s">
        <v>96</v>
      </c>
      <c r="AK11" s="27">
        <f>IF(共通条件・結果!AA7="８地域","0.480",IF(共通条件・結果!AA7="７地域",0.412,IF(共通条件・結果!AA7="６地域",0.434,IF(共通条件・結果!AA7="５地域",0.472,IF(共通条件・結果!AA7="４地域",0.437,IF(共通条件・結果!AA7="３地域",0.476,IF(共通条件・結果!AA7="２地域",0.507,IF(共通条件・結果!AA7="１地域",0.502))))))))</f>
        <v>0.47599999999999998</v>
      </c>
      <c r="AL11" s="27">
        <f>IF(共通条件・結果!AA7="８地域","-",IF(共通条件・結果!AA7="７地域",1.023,IF(共通条件・結果!AA7="６地域",0.936,IF(共通条件・結果!AA7="５地域",0.983,IF(共通条件・結果!AA7="４地域",0.815,IF(共通条件・結果!AA7="３地域",0.851,IF(共通条件・結果!AA7="２地域",0.856,IF(共通条件・結果!AA7="１地域",0.935))))))))</f>
        <v>0.85099999999999998</v>
      </c>
      <c r="AN11" s="24" t="s">
        <v>79</v>
      </c>
      <c r="AO11" s="25">
        <v>0.54500000000000004</v>
      </c>
      <c r="AP11" s="25">
        <v>0.503</v>
      </c>
      <c r="AQ11" s="25">
        <v>0.46800000000000003</v>
      </c>
      <c r="AR11" s="25">
        <v>0.51800000000000002</v>
      </c>
      <c r="AS11" s="25">
        <v>0.5</v>
      </c>
      <c r="AT11" s="25">
        <v>0.51200000000000001</v>
      </c>
      <c r="AU11" s="25">
        <v>0.50900000000000001</v>
      </c>
      <c r="AV11" s="25">
        <v>0.51500000000000001</v>
      </c>
    </row>
    <row r="12" spans="2:48" ht="24.95" customHeight="1" x14ac:dyDescent="0.15">
      <c r="B12" s="514"/>
      <c r="C12" s="515"/>
      <c r="D12" s="544"/>
      <c r="E12" s="544"/>
      <c r="F12" s="481"/>
      <c r="G12" s="532"/>
      <c r="H12" s="250"/>
      <c r="I12" s="251"/>
      <c r="J12" s="451"/>
      <c r="K12" s="452"/>
      <c r="L12" s="535"/>
      <c r="M12" s="536"/>
      <c r="N12" s="252"/>
      <c r="O12" s="253"/>
      <c r="P12" s="533" t="str">
        <f>IF(OR($B$12="",F12=""),"",IF(OR(D12="屋根",D12="天井"),1,IF(OR(D12="ピット等",D12="その他床",D12="外気床"),0,VLOOKUP($B$12,$AJ$7:$AL$14,2,0))))</f>
        <v/>
      </c>
      <c r="Q12" s="534"/>
      <c r="R12" s="533" t="str">
        <f>IF(OR($B$12="",F12=""),"",IF(OR(D12="屋根",D12="天井"),1,IF(OR(D12="ピット等",D12="その他床",D12="外気床"),0,VLOOKUP($B$12,$AJ$7:$AL$14,3,0))))</f>
        <v/>
      </c>
      <c r="S12" s="534"/>
      <c r="T12" s="525" t="str">
        <f t="shared" si="0"/>
        <v/>
      </c>
      <c r="U12" s="526"/>
      <c r="V12" s="525" t="str">
        <f t="shared" si="2"/>
        <v>-</v>
      </c>
      <c r="W12" s="526"/>
      <c r="X12" s="315" t="str">
        <f t="shared" si="1"/>
        <v/>
      </c>
      <c r="Y12" s="527"/>
      <c r="Z12" s="528"/>
      <c r="AA12" s="529"/>
      <c r="AB12" s="529"/>
      <c r="AC12" s="529"/>
      <c r="AD12" s="529"/>
      <c r="AE12" s="529"/>
      <c r="AF12" s="530"/>
      <c r="AI12" s="39" t="b">
        <v>1</v>
      </c>
      <c r="AJ12" s="26" t="s">
        <v>97</v>
      </c>
      <c r="AK12" s="27">
        <f>IF(共通条件・結果!AA7="８地域","0.517",IF(共通条件・結果!AA7="７地域",0.479,IF(共通条件・結果!AA7="６地域",0.491,IF(共通条件・結果!AA7="５地域",0.52,IF(共通条件・結果!AA7="４地域",0.481,IF(共通条件・結果!AA7="３地域",0.55,IF(共通条件・結果!AA7="２地域",0.548,IF(共通条件・結果!AA7="１地域",0.526))))))))</f>
        <v>0.55000000000000004</v>
      </c>
      <c r="AL12" s="27">
        <f>IF(共通条件・結果!AA7="８地域","-",IF(共通条件・結果!AA7="７地域",0.848,IF(共通条件・結果!AA7="６地域",0.763,IF(共通条件・結果!AA7="５地域",0.815,IF(共通条件・結果!AA7="４地域",0.723,IF(共通条件・結果!AA7="３地域",0.75,IF(共通条件・結果!AA7="２地域",0.753,IF(共通条件・結果!AA7="１地域",0.79))))))))</f>
        <v>0.75</v>
      </c>
      <c r="AN12" s="24" t="s">
        <v>80</v>
      </c>
      <c r="AO12" s="25">
        <v>0.56000000000000005</v>
      </c>
      <c r="AP12" s="25">
        <v>0.52700000000000002</v>
      </c>
      <c r="AQ12" s="25">
        <v>0.48699999999999999</v>
      </c>
      <c r="AR12" s="25">
        <v>0.50800000000000001</v>
      </c>
      <c r="AS12" s="25">
        <v>0.5</v>
      </c>
      <c r="AT12" s="25">
        <v>0.498</v>
      </c>
      <c r="AU12" s="25">
        <v>0.49</v>
      </c>
      <c r="AV12" s="25">
        <v>0.52800000000000002</v>
      </c>
    </row>
    <row r="13" spans="2:48" ht="24.95" customHeight="1" x14ac:dyDescent="0.15">
      <c r="B13" s="516"/>
      <c r="C13" s="517"/>
      <c r="D13" s="504"/>
      <c r="E13" s="504"/>
      <c r="F13" s="289"/>
      <c r="G13" s="299"/>
      <c r="H13" s="289"/>
      <c r="I13" s="290"/>
      <c r="J13" s="409"/>
      <c r="K13" s="410"/>
      <c r="L13" s="512"/>
      <c r="M13" s="513"/>
      <c r="N13" s="254"/>
      <c r="O13" s="255"/>
      <c r="P13" s="505" t="str">
        <f>IF(OR($B$12="",F13=""),"",IF(OR(D13="屋根",D13="天井"),1,IF(OR(D13="ピット等",D13="その他床",D13="外気床"),0,VLOOKUP($B$12,$AJ$7:$AL$14,2,0))))</f>
        <v/>
      </c>
      <c r="Q13" s="506"/>
      <c r="R13" s="505" t="str">
        <f>IF(OR($B$12="",F13=""),"",IF(OR(D13="屋根",D13="天井"),1,IF(OR(D13="ピット等",D13="その他床",D13="外気床"),0,VLOOKUP($B$12,$AJ$7:$AL$14,3,0))))</f>
        <v/>
      </c>
      <c r="S13" s="506"/>
      <c r="T13" s="505" t="str">
        <f t="shared" si="0"/>
        <v/>
      </c>
      <c r="U13" s="506"/>
      <c r="V13" s="505" t="str">
        <f t="shared" si="2"/>
        <v>-</v>
      </c>
      <c r="W13" s="506"/>
      <c r="X13" s="366" t="str">
        <f t="shared" si="1"/>
        <v/>
      </c>
      <c r="Y13" s="367"/>
      <c r="Z13" s="507"/>
      <c r="AA13" s="508"/>
      <c r="AB13" s="508"/>
      <c r="AC13" s="508"/>
      <c r="AD13" s="508"/>
      <c r="AE13" s="508"/>
      <c r="AF13" s="509"/>
      <c r="AI13" s="39" t="b">
        <v>1</v>
      </c>
      <c r="AJ13" s="26" t="s">
        <v>98</v>
      </c>
      <c r="AK13" s="27">
        <f>IF(共通条件・結果!AA7="８地域","0.505",IF(共通条件・結果!AA7="７地域",0.495,IF(共通条件・結果!AA7="６地域",0.504,IF(共通条件・結果!AA7="５地域",0.518,IF(共通条件・結果!AA7="４地域",0.481,IF(共通条件・結果!AA7="３地域",0.553,IF(共通条件・結果!AA7="２地域",0.529,IF(共通条件・結果!AA7="１地域",0.508))))))))</f>
        <v>0.55300000000000005</v>
      </c>
      <c r="AL13" s="27">
        <f>IF(共通条件・結果!AA7="８地域","-",IF(共通条件・結果!AA7="７地域",0.548,IF(共通条件・結果!AA7="６地域",0.523,IF(共通条件・結果!AA7="５地域",0.538,IF(共通条件・結果!AA7="４地域",0.527,IF(共通条件・結果!AA7="３地域",0.542,IF(共通条件・結果!AA7="２地域",0.544,IF(共通条件・結果!AA7="１地域",0.535))))))))</f>
        <v>0.54200000000000004</v>
      </c>
      <c r="AN13" s="24" t="s">
        <v>81</v>
      </c>
      <c r="AO13" s="25">
        <v>0.502</v>
      </c>
      <c r="AP13" s="25">
        <v>0.50700000000000001</v>
      </c>
      <c r="AQ13" s="25">
        <v>0.47599999999999998</v>
      </c>
      <c r="AR13" s="25">
        <v>0.437</v>
      </c>
      <c r="AS13" s="25">
        <v>0.47199999999999998</v>
      </c>
      <c r="AT13" s="25">
        <v>0.434</v>
      </c>
      <c r="AU13" s="25">
        <v>0.41199999999999998</v>
      </c>
      <c r="AV13" s="25">
        <v>0.48</v>
      </c>
    </row>
    <row r="14" spans="2:48" ht="24.95" customHeight="1" x14ac:dyDescent="0.15">
      <c r="B14" s="516"/>
      <c r="C14" s="517"/>
      <c r="D14" s="504"/>
      <c r="E14" s="504"/>
      <c r="F14" s="289"/>
      <c r="G14" s="299"/>
      <c r="H14" s="289"/>
      <c r="I14" s="290"/>
      <c r="J14" s="409"/>
      <c r="K14" s="410"/>
      <c r="L14" s="512"/>
      <c r="M14" s="513"/>
      <c r="N14" s="254"/>
      <c r="O14" s="255"/>
      <c r="P14" s="505" t="str">
        <f>IF(OR($B$12="",F14=""),"",IF(OR(D14="屋根",D14="天井"),1,IF(OR(D14="ピット等",D14="その他床",D14="外気床"),0,VLOOKUP($B$12,$AJ$7:$AL$14,2,0))))</f>
        <v/>
      </c>
      <c r="Q14" s="506"/>
      <c r="R14" s="505" t="str">
        <f>IF(OR($B$12="",F14=""),"",IF(OR(D14="屋根",D14="天井"),1,IF(OR(D14="ピット等",D14="その他床",D14="外気床"),0,VLOOKUP($B$12,$AJ$7:$AL$14,3,0))))</f>
        <v/>
      </c>
      <c r="S14" s="506"/>
      <c r="T14" s="505" t="str">
        <f t="shared" si="0"/>
        <v/>
      </c>
      <c r="U14" s="506"/>
      <c r="V14" s="505" t="str">
        <f t="shared" si="2"/>
        <v>-</v>
      </c>
      <c r="W14" s="506"/>
      <c r="X14" s="366" t="str">
        <f t="shared" si="1"/>
        <v/>
      </c>
      <c r="Y14" s="367"/>
      <c r="Z14" s="507"/>
      <c r="AA14" s="508"/>
      <c r="AB14" s="508"/>
      <c r="AC14" s="508"/>
      <c r="AD14" s="508"/>
      <c r="AE14" s="508"/>
      <c r="AF14" s="509"/>
      <c r="AI14" s="39" t="b">
        <v>1</v>
      </c>
      <c r="AJ14" s="26" t="s">
        <v>100</v>
      </c>
      <c r="AK14" s="27">
        <f>IF(共通条件・結果!AA7="８地域","0.411",IF(共通条件・結果!AA7="７地域",0.406,IF(共通条件・結果!AA7="６地域",0.427,IF(共通条件・結果!AA7="５地域",0.442,IF(共通条件・結果!AA7="４地域",0.401,IF(共通条件・結果!AA7="３地域",0.447,IF(共通条件・結果!AA7="２地域",0.428,IF(共通条件・結果!AA7="１地域",0.411))))))))</f>
        <v>0.44700000000000001</v>
      </c>
      <c r="AL14" s="27">
        <f>IF(共通条件・結果!AA7="８地域","-",IF(共通条件・結果!AA7="７地域",0.284,IF(共通条件・結果!AA7="６地域",0.317,IF(共通条件・結果!AA7="５地域",0.297,IF(共通条件・結果!AA7="４地域",0.326,IF(共通条件・結果!AA7="３地域",0.351,IF(共通条件・結果!AA7="２地域",0.341,IF(共通条件・結果!AA7="１地域",0.325))))))))</f>
        <v>0.35099999999999998</v>
      </c>
      <c r="AN14" s="24" t="s">
        <v>82</v>
      </c>
      <c r="AO14" s="25">
        <v>0.52600000000000002</v>
      </c>
      <c r="AP14" s="25">
        <v>0.54800000000000004</v>
      </c>
      <c r="AQ14" s="25">
        <v>0.55000000000000004</v>
      </c>
      <c r="AR14" s="25">
        <v>0.48099999999999998</v>
      </c>
      <c r="AS14" s="25">
        <v>0.52</v>
      </c>
      <c r="AT14" s="25">
        <v>0.49099999999999999</v>
      </c>
      <c r="AU14" s="25">
        <v>0.47899999999999998</v>
      </c>
      <c r="AV14" s="25">
        <v>0.51700000000000002</v>
      </c>
    </row>
    <row r="15" spans="2:48" ht="24.95" customHeight="1" x14ac:dyDescent="0.15">
      <c r="B15" s="516"/>
      <c r="C15" s="517"/>
      <c r="D15" s="504"/>
      <c r="E15" s="504"/>
      <c r="F15" s="289"/>
      <c r="G15" s="299"/>
      <c r="H15" s="289"/>
      <c r="I15" s="290"/>
      <c r="J15" s="409"/>
      <c r="K15" s="410"/>
      <c r="L15" s="512"/>
      <c r="M15" s="513"/>
      <c r="N15" s="254"/>
      <c r="O15" s="255"/>
      <c r="P15" s="505" t="str">
        <f>IF(OR($B$12="",F15=""),"",IF(OR(D15="屋根",D15="天井"),1,IF(OR(D15="ピット等",D15="その他床",D15="外気床"),0,VLOOKUP($B$12,$AJ$7:$AL$14,2,0))))</f>
        <v/>
      </c>
      <c r="Q15" s="506"/>
      <c r="R15" s="505" t="str">
        <f>IF(OR($B$12="",F15=""),"",IF(OR(D15="屋根",D15="天井"),1,IF(OR(D15="ピット等",D15="その他床",D15="外気床"),0,VLOOKUP($B$12,$AJ$7:$AL$14,3,0))))</f>
        <v/>
      </c>
      <c r="S15" s="506"/>
      <c r="T15" s="505" t="str">
        <f t="shared" si="0"/>
        <v/>
      </c>
      <c r="U15" s="506"/>
      <c r="V15" s="505" t="str">
        <f t="shared" si="2"/>
        <v>-</v>
      </c>
      <c r="W15" s="506"/>
      <c r="X15" s="366" t="str">
        <f t="shared" si="1"/>
        <v/>
      </c>
      <c r="Y15" s="367"/>
      <c r="Z15" s="507"/>
      <c r="AA15" s="508"/>
      <c r="AB15" s="508"/>
      <c r="AC15" s="508"/>
      <c r="AD15" s="508"/>
      <c r="AE15" s="508"/>
      <c r="AF15" s="509"/>
      <c r="AI15" s="39" t="b">
        <v>1</v>
      </c>
      <c r="AN15" s="24" t="s">
        <v>83</v>
      </c>
      <c r="AO15" s="25">
        <v>0.50800000000000001</v>
      </c>
      <c r="AP15" s="25">
        <v>0.52900000000000003</v>
      </c>
      <c r="AQ15" s="25">
        <v>0.55300000000000005</v>
      </c>
      <c r="AR15" s="25">
        <v>0.48099999999999998</v>
      </c>
      <c r="AS15" s="25">
        <v>0.51800000000000002</v>
      </c>
      <c r="AT15" s="25">
        <v>0.504</v>
      </c>
      <c r="AU15" s="25">
        <v>0.495</v>
      </c>
      <c r="AV15" s="25">
        <v>0.505</v>
      </c>
    </row>
    <row r="16" spans="2:48" ht="24.95" customHeight="1" thickBot="1" x14ac:dyDescent="0.2">
      <c r="B16" s="518"/>
      <c r="C16" s="519"/>
      <c r="D16" s="496"/>
      <c r="E16" s="496"/>
      <c r="F16" s="242"/>
      <c r="G16" s="241"/>
      <c r="H16" s="242"/>
      <c r="I16" s="241"/>
      <c r="J16" s="483"/>
      <c r="K16" s="484"/>
      <c r="L16" s="568"/>
      <c r="M16" s="569"/>
      <c r="N16" s="254"/>
      <c r="O16" s="255"/>
      <c r="P16" s="499" t="str">
        <f>IF(OR($B$12="",F16=""),"",IF(OR(D16="屋根",D16="天井"),1,IF(OR(D16="ピット等",D16="その他床",D16="外気床"),0,VLOOKUP($B$12,$AJ$7:$AL$14,2,0))))</f>
        <v/>
      </c>
      <c r="Q16" s="500"/>
      <c r="R16" s="499" t="str">
        <f>IF(OR($B$12="",F16=""),"",IF(OR(D16="屋根",D16="天井"),1,IF(OR(D16="ピット等",D16="その他床",D16="外気床"),0,VLOOKUP($B$12,$AJ$7:$AL$14,3,0))))</f>
        <v/>
      </c>
      <c r="S16" s="500"/>
      <c r="T16" s="510" t="str">
        <f t="shared" si="0"/>
        <v/>
      </c>
      <c r="U16" s="511"/>
      <c r="V16" s="510" t="str">
        <f t="shared" si="2"/>
        <v>-</v>
      </c>
      <c r="W16" s="511"/>
      <c r="X16" s="318" t="str">
        <f t="shared" si="1"/>
        <v/>
      </c>
      <c r="Y16" s="381"/>
      <c r="Z16" s="501"/>
      <c r="AA16" s="502"/>
      <c r="AB16" s="502"/>
      <c r="AC16" s="502"/>
      <c r="AD16" s="502"/>
      <c r="AE16" s="502"/>
      <c r="AF16" s="503"/>
      <c r="AI16" s="39" t="b">
        <v>1</v>
      </c>
      <c r="AN16" s="24" t="s">
        <v>77</v>
      </c>
      <c r="AO16" s="25">
        <v>0.41099999999999998</v>
      </c>
      <c r="AP16" s="25">
        <v>0.42799999999999999</v>
      </c>
      <c r="AQ16" s="25">
        <v>0.44700000000000001</v>
      </c>
      <c r="AR16" s="25">
        <v>0.40100000000000002</v>
      </c>
      <c r="AS16" s="25">
        <v>0.442</v>
      </c>
      <c r="AT16" s="25">
        <v>0.42699999999999999</v>
      </c>
      <c r="AU16" s="25">
        <v>0.40600000000000003</v>
      </c>
      <c r="AV16" s="25">
        <v>0.41099999999999998</v>
      </c>
    </row>
    <row r="17" spans="2:48" ht="24.95" customHeight="1" x14ac:dyDescent="0.15">
      <c r="B17" s="521"/>
      <c r="C17" s="522"/>
      <c r="D17" s="504"/>
      <c r="E17" s="504"/>
      <c r="F17" s="289"/>
      <c r="G17" s="299"/>
      <c r="H17" s="289"/>
      <c r="I17" s="290"/>
      <c r="J17" s="409"/>
      <c r="K17" s="410"/>
      <c r="L17" s="535"/>
      <c r="M17" s="536"/>
      <c r="N17" s="252"/>
      <c r="O17" s="253"/>
      <c r="P17" s="533" t="str">
        <f>IF(OR($B$17="",F17=""),"",IF(OR(D17="屋根",D17="天井"),1,IF(OR(D17="ピット等",D17="その他床",D17="外気床"),0,VLOOKUP($B$17,$AJ$7:$AL$14,2,0))))</f>
        <v/>
      </c>
      <c r="Q17" s="534"/>
      <c r="R17" s="533" t="str">
        <f>IF(OR($B$17="",F17=""),"",IF(OR(D17="屋根",D17="天井"),1,IF(OR(D17="ピット等",D17="その他床",D17="外気床"),0,VLOOKUP($B$17,$AJ$7:$AL$14,3,0))))</f>
        <v/>
      </c>
      <c r="S17" s="534"/>
      <c r="T17" s="525" t="str">
        <f t="shared" si="0"/>
        <v/>
      </c>
      <c r="U17" s="526"/>
      <c r="V17" s="525" t="str">
        <f t="shared" si="2"/>
        <v>-</v>
      </c>
      <c r="W17" s="526"/>
      <c r="X17" s="315" t="str">
        <f t="shared" si="1"/>
        <v/>
      </c>
      <c r="Y17" s="527"/>
      <c r="Z17" s="528"/>
      <c r="AA17" s="529"/>
      <c r="AB17" s="529"/>
      <c r="AC17" s="529"/>
      <c r="AD17" s="529"/>
      <c r="AE17" s="529"/>
      <c r="AF17" s="530"/>
      <c r="AI17" s="39" t="b">
        <v>1</v>
      </c>
      <c r="AJ17" s="1"/>
      <c r="AN17" s="24" t="s">
        <v>84</v>
      </c>
      <c r="AO17" s="495">
        <v>0</v>
      </c>
      <c r="AP17" s="495"/>
      <c r="AQ17" s="495"/>
      <c r="AR17" s="495"/>
      <c r="AS17" s="495"/>
      <c r="AT17" s="495"/>
      <c r="AU17" s="495"/>
      <c r="AV17" s="495"/>
    </row>
    <row r="18" spans="2:48" ht="24.95" customHeight="1" x14ac:dyDescent="0.15">
      <c r="B18" s="516"/>
      <c r="C18" s="517"/>
      <c r="D18" s="504"/>
      <c r="E18" s="504"/>
      <c r="F18" s="289"/>
      <c r="G18" s="299"/>
      <c r="H18" s="289"/>
      <c r="I18" s="290"/>
      <c r="J18" s="409"/>
      <c r="K18" s="410"/>
      <c r="L18" s="512"/>
      <c r="M18" s="513"/>
      <c r="N18" s="254"/>
      <c r="O18" s="255"/>
      <c r="P18" s="505" t="str">
        <f>IF(OR($B$17="",F18=""),"",IF(OR(D18="屋根",D18="天井"),1,IF(OR(D18="ピット等",D18="その他床",D18="外気床"),0,VLOOKUP($B$17,$AJ$7:$AL$14,2,0))))</f>
        <v/>
      </c>
      <c r="Q18" s="506"/>
      <c r="R18" s="505" t="str">
        <f>IF(OR($B$17="",F18=""),"",IF(OR(D18="屋根",D18="天井"),1,IF(OR(D18="ピット等",D18="その他床",D18="外気床"),0,VLOOKUP($B$17,$AJ$7:$AL$14,3,0))))</f>
        <v/>
      </c>
      <c r="S18" s="506"/>
      <c r="T18" s="505" t="str">
        <f t="shared" si="0"/>
        <v/>
      </c>
      <c r="U18" s="506"/>
      <c r="V18" s="505" t="str">
        <f t="shared" si="2"/>
        <v>-</v>
      </c>
      <c r="W18" s="506"/>
      <c r="X18" s="366" t="str">
        <f t="shared" si="1"/>
        <v/>
      </c>
      <c r="Y18" s="367"/>
      <c r="Z18" s="507"/>
      <c r="AA18" s="508"/>
      <c r="AB18" s="508"/>
      <c r="AC18" s="508"/>
      <c r="AD18" s="508"/>
      <c r="AE18" s="508"/>
      <c r="AF18" s="509"/>
      <c r="AI18" s="39" t="b">
        <v>1</v>
      </c>
      <c r="AJ18" s="1"/>
      <c r="AN18" s="24" t="s">
        <v>85</v>
      </c>
      <c r="AO18" s="495"/>
      <c r="AP18" s="495"/>
      <c r="AQ18" s="495"/>
      <c r="AR18" s="495"/>
      <c r="AS18" s="495"/>
      <c r="AT18" s="495"/>
      <c r="AU18" s="495"/>
      <c r="AV18" s="495"/>
    </row>
    <row r="19" spans="2:48" ht="24.95" customHeight="1" x14ac:dyDescent="0.15">
      <c r="B19" s="516"/>
      <c r="C19" s="517"/>
      <c r="D19" s="504"/>
      <c r="E19" s="504"/>
      <c r="F19" s="289"/>
      <c r="G19" s="299"/>
      <c r="H19" s="289"/>
      <c r="I19" s="290"/>
      <c r="J19" s="409"/>
      <c r="K19" s="410"/>
      <c r="L19" s="512"/>
      <c r="M19" s="513"/>
      <c r="N19" s="254"/>
      <c r="O19" s="255"/>
      <c r="P19" s="505" t="str">
        <f>IF(OR($B$17="",F19=""),"",IF(OR(D19="屋根",D19="天井"),1,IF(OR(D19="ピット等",D19="その他床",D19="外気床"),0,VLOOKUP($B$17,$AJ$7:$AL$14,2,0))))</f>
        <v/>
      </c>
      <c r="Q19" s="506"/>
      <c r="R19" s="505" t="str">
        <f>IF(OR($B$17="",F19=""),"",IF(OR(D19="屋根",D19="天井"),1,IF(OR(D19="ピット等",D19="その他床",D19="外気床"),0,VLOOKUP($B$17,$AJ$7:$AL$14,3,0))))</f>
        <v/>
      </c>
      <c r="S19" s="506"/>
      <c r="T19" s="505" t="str">
        <f t="shared" si="0"/>
        <v/>
      </c>
      <c r="U19" s="506"/>
      <c r="V19" s="505" t="str">
        <f t="shared" si="2"/>
        <v>-</v>
      </c>
      <c r="W19" s="506"/>
      <c r="X19" s="366" t="str">
        <f t="shared" si="1"/>
        <v/>
      </c>
      <c r="Y19" s="367"/>
      <c r="Z19" s="507"/>
      <c r="AA19" s="508"/>
      <c r="AB19" s="508"/>
      <c r="AC19" s="508"/>
      <c r="AD19" s="508"/>
      <c r="AE19" s="508"/>
      <c r="AF19" s="509"/>
      <c r="AI19" s="39" t="b">
        <v>1</v>
      </c>
      <c r="AJ19" s="1"/>
      <c r="AN19" s="24" t="s">
        <v>86</v>
      </c>
      <c r="AO19" s="495"/>
      <c r="AP19" s="495"/>
      <c r="AQ19" s="495"/>
      <c r="AR19" s="495"/>
      <c r="AS19" s="495"/>
      <c r="AT19" s="495"/>
      <c r="AU19" s="495"/>
      <c r="AV19" s="495"/>
    </row>
    <row r="20" spans="2:48" ht="24.95" customHeight="1" x14ac:dyDescent="0.15">
      <c r="B20" s="516"/>
      <c r="C20" s="517"/>
      <c r="D20" s="504"/>
      <c r="E20" s="504"/>
      <c r="F20" s="289"/>
      <c r="G20" s="299"/>
      <c r="H20" s="289"/>
      <c r="I20" s="290"/>
      <c r="J20" s="409"/>
      <c r="K20" s="410"/>
      <c r="L20" s="512"/>
      <c r="M20" s="513"/>
      <c r="N20" s="254"/>
      <c r="O20" s="255"/>
      <c r="P20" s="505" t="str">
        <f>IF(OR($B$17="",F20=""),"",IF(OR(D20="屋根",D20="天井"),1,IF(OR(D20="ピット等",D20="その他床",D20="外気床"),0,VLOOKUP($B$17,$AJ$7:$AL$14,2,0))))</f>
        <v/>
      </c>
      <c r="Q20" s="506"/>
      <c r="R20" s="505" t="str">
        <f>IF(OR($B$17="",F20=""),"",IF(OR(D20="屋根",D20="天井"),1,IF(OR(D20="ピット等",D20="その他床",D20="外気床"),0,VLOOKUP($B$17,$AJ$7:$AL$14,3,0))))</f>
        <v/>
      </c>
      <c r="S20" s="506"/>
      <c r="T20" s="505" t="str">
        <f t="shared" si="0"/>
        <v/>
      </c>
      <c r="U20" s="506"/>
      <c r="V20" s="505" t="str">
        <f t="shared" si="2"/>
        <v>-</v>
      </c>
      <c r="W20" s="506"/>
      <c r="X20" s="366" t="str">
        <f t="shared" si="1"/>
        <v/>
      </c>
      <c r="Y20" s="367"/>
      <c r="Z20" s="507"/>
      <c r="AA20" s="508"/>
      <c r="AB20" s="508"/>
      <c r="AC20" s="508"/>
      <c r="AD20" s="508"/>
      <c r="AE20" s="508"/>
      <c r="AF20" s="509"/>
      <c r="AI20" s="39" t="b">
        <v>1</v>
      </c>
      <c r="AJ20" s="1"/>
    </row>
    <row r="21" spans="2:48" ht="24.95" customHeight="1" thickBot="1" x14ac:dyDescent="0.2">
      <c r="B21" s="523"/>
      <c r="C21" s="524"/>
      <c r="D21" s="520"/>
      <c r="E21" s="520"/>
      <c r="F21" s="242"/>
      <c r="G21" s="241"/>
      <c r="H21" s="242"/>
      <c r="I21" s="241"/>
      <c r="J21" s="483"/>
      <c r="K21" s="484"/>
      <c r="L21" s="537"/>
      <c r="M21" s="538"/>
      <c r="N21" s="254"/>
      <c r="O21" s="255"/>
      <c r="P21" s="499" t="str">
        <f>IF(OR($B$17="",F21=""),"",IF(OR(D21="屋根",D21="天井"),1,IF(OR(D21="ピット等",D21="その他床",D21="外気床"),0,VLOOKUP($B$17,$AJ$7:$AL$14,2,0))))</f>
        <v/>
      </c>
      <c r="Q21" s="500"/>
      <c r="R21" s="499" t="str">
        <f>IF(OR($B$17="",F21=""),"",IF(OR(D21="屋根",D21="天井"),1,IF(OR(D21="ピット等",D21="その他床",D21="外気床"),0,VLOOKUP($B$17,$AJ$7:$AL$14,3,0))))</f>
        <v/>
      </c>
      <c r="S21" s="500"/>
      <c r="T21" s="510" t="str">
        <f t="shared" si="0"/>
        <v/>
      </c>
      <c r="U21" s="511"/>
      <c r="V21" s="510" t="str">
        <f t="shared" si="2"/>
        <v>-</v>
      </c>
      <c r="W21" s="511"/>
      <c r="X21" s="318" t="str">
        <f t="shared" si="1"/>
        <v/>
      </c>
      <c r="Y21" s="381"/>
      <c r="Z21" s="501"/>
      <c r="AA21" s="502"/>
      <c r="AB21" s="502"/>
      <c r="AC21" s="502"/>
      <c r="AD21" s="502"/>
      <c r="AE21" s="502"/>
      <c r="AF21" s="503"/>
      <c r="AI21" s="39" t="b">
        <v>1</v>
      </c>
      <c r="AJ21" s="1"/>
    </row>
    <row r="22" spans="2:48" ht="24.95" customHeight="1" x14ac:dyDescent="0.15">
      <c r="B22" s="514"/>
      <c r="C22" s="515"/>
      <c r="D22" s="544"/>
      <c r="E22" s="544"/>
      <c r="F22" s="481"/>
      <c r="G22" s="532"/>
      <c r="H22" s="250"/>
      <c r="I22" s="251"/>
      <c r="J22" s="451"/>
      <c r="K22" s="452"/>
      <c r="L22" s="535"/>
      <c r="M22" s="536"/>
      <c r="N22" s="252"/>
      <c r="O22" s="253"/>
      <c r="P22" s="533" t="str">
        <f>IF(OR($B$22="",F22=""),"",IF(OR(D22="屋根",D22="天井"),1,IF(OR(D22="ピット等",D22="その他床",D22="外気床"),0,VLOOKUP($B$22,$AJ$7:$AL$14,2,0))))</f>
        <v/>
      </c>
      <c r="Q22" s="534"/>
      <c r="R22" s="533" t="str">
        <f>IF(OR($B$22="",F22=""),"",IF(OR(D22="屋根",D22="天井"),1,IF(OR(D22="ピット等",D22="その他床",D22="外気床"),0,VLOOKUP($B$22,$AJ$7:$AL$14,3,0))))</f>
        <v/>
      </c>
      <c r="S22" s="534"/>
      <c r="T22" s="525" t="str">
        <f t="shared" si="0"/>
        <v/>
      </c>
      <c r="U22" s="526"/>
      <c r="V22" s="525" t="str">
        <f t="shared" si="2"/>
        <v>-</v>
      </c>
      <c r="W22" s="526"/>
      <c r="X22" s="315" t="str">
        <f t="shared" si="1"/>
        <v/>
      </c>
      <c r="Y22" s="527"/>
      <c r="Z22" s="528"/>
      <c r="AA22" s="529"/>
      <c r="AB22" s="529"/>
      <c r="AC22" s="529"/>
      <c r="AD22" s="529"/>
      <c r="AE22" s="529"/>
      <c r="AF22" s="530"/>
      <c r="AI22" s="39" t="b">
        <v>1</v>
      </c>
      <c r="AJ22" s="31"/>
      <c r="AN22" t="s">
        <v>11</v>
      </c>
    </row>
    <row r="23" spans="2:48" ht="24.95" customHeight="1" x14ac:dyDescent="0.15">
      <c r="B23" s="516"/>
      <c r="C23" s="517"/>
      <c r="D23" s="504"/>
      <c r="E23" s="504"/>
      <c r="F23" s="289"/>
      <c r="G23" s="299"/>
      <c r="H23" s="289"/>
      <c r="I23" s="290"/>
      <c r="J23" s="409"/>
      <c r="K23" s="410"/>
      <c r="L23" s="512"/>
      <c r="M23" s="513"/>
      <c r="N23" s="254"/>
      <c r="O23" s="255"/>
      <c r="P23" s="505" t="str">
        <f>IF(OR($B$22="",F23=""),"",IF(OR(D23="屋根",D23="天井"),1,IF(OR(D23="ピット等",D23="その他床",D23="外気床"),0,VLOOKUP($B$22,$AJ$7:$AL$14,2,0))))</f>
        <v/>
      </c>
      <c r="Q23" s="506"/>
      <c r="R23" s="505" t="str">
        <f>IF(OR($B$22="",F23=""),"",IF(OR(D23="屋根",D23="天井"),1,IF(OR(D23="ピット等",D23="その他床",D23="外気床"),0,VLOOKUP($B$22,$AJ$7:$AL$14,3,0))))</f>
        <v/>
      </c>
      <c r="S23" s="506"/>
      <c r="T23" s="505" t="str">
        <f t="shared" si="0"/>
        <v/>
      </c>
      <c r="U23" s="506"/>
      <c r="V23" s="505" t="str">
        <f t="shared" si="2"/>
        <v>-</v>
      </c>
      <c r="W23" s="506"/>
      <c r="X23" s="366" t="str">
        <f t="shared" si="1"/>
        <v/>
      </c>
      <c r="Y23" s="367"/>
      <c r="Z23" s="507"/>
      <c r="AA23" s="508"/>
      <c r="AB23" s="508"/>
      <c r="AC23" s="508"/>
      <c r="AD23" s="508"/>
      <c r="AE23" s="508"/>
      <c r="AF23" s="509"/>
      <c r="AI23" s="39" t="b">
        <v>1</v>
      </c>
      <c r="AJ23" s="31"/>
      <c r="AN23" s="539" t="s">
        <v>74</v>
      </c>
      <c r="AO23" s="541" t="s">
        <v>70</v>
      </c>
      <c r="AP23" s="542"/>
      <c r="AQ23" s="542"/>
      <c r="AR23" s="542"/>
      <c r="AS23" s="542"/>
      <c r="AT23" s="542"/>
      <c r="AU23" s="542"/>
      <c r="AV23" s="543"/>
    </row>
    <row r="24" spans="2:48" ht="24.95" customHeight="1" x14ac:dyDescent="0.15">
      <c r="B24" s="516"/>
      <c r="C24" s="517"/>
      <c r="D24" s="504"/>
      <c r="E24" s="504"/>
      <c r="F24" s="289"/>
      <c r="G24" s="299"/>
      <c r="H24" s="289"/>
      <c r="I24" s="290"/>
      <c r="J24" s="409"/>
      <c r="K24" s="410"/>
      <c r="L24" s="512"/>
      <c r="M24" s="513"/>
      <c r="N24" s="254"/>
      <c r="O24" s="255"/>
      <c r="P24" s="505" t="str">
        <f>IF(OR($B$22="",F24=""),"",IF(OR(D24="屋根",D24="天井"),1,IF(OR(D24="ピット等",D24="その他床",D24="外気床"),0,VLOOKUP($B$22,$AJ$7:$AL$14,2,0))))</f>
        <v/>
      </c>
      <c r="Q24" s="506"/>
      <c r="R24" s="505" t="str">
        <f>IF(OR($B$22="",F24=""),"",IF(OR(D24="屋根",D24="天井"),1,IF(OR(D24="ピット等",D24="その他床",D24="外気床"),0,VLOOKUP($B$22,$AJ$7:$AL$14,3,0))))</f>
        <v/>
      </c>
      <c r="S24" s="506"/>
      <c r="T24" s="505" t="str">
        <f t="shared" si="0"/>
        <v/>
      </c>
      <c r="U24" s="506"/>
      <c r="V24" s="505" t="str">
        <f t="shared" si="2"/>
        <v>-</v>
      </c>
      <c r="W24" s="506"/>
      <c r="X24" s="366" t="str">
        <f t="shared" si="1"/>
        <v/>
      </c>
      <c r="Y24" s="367"/>
      <c r="Z24" s="507"/>
      <c r="AA24" s="508"/>
      <c r="AB24" s="508"/>
      <c r="AC24" s="508"/>
      <c r="AD24" s="508"/>
      <c r="AE24" s="508"/>
      <c r="AF24" s="509"/>
      <c r="AI24" s="39" t="b">
        <v>1</v>
      </c>
      <c r="AJ24" s="31"/>
      <c r="AN24" s="540"/>
      <c r="AO24" s="24" t="s">
        <v>135</v>
      </c>
      <c r="AP24" s="24" t="s">
        <v>136</v>
      </c>
      <c r="AQ24" s="24" t="s">
        <v>137</v>
      </c>
      <c r="AR24" s="24" t="s">
        <v>138</v>
      </c>
      <c r="AS24" s="24" t="s">
        <v>139</v>
      </c>
      <c r="AT24" s="24" t="s">
        <v>140</v>
      </c>
      <c r="AU24" s="24" t="s">
        <v>141</v>
      </c>
      <c r="AV24" s="24" t="s">
        <v>142</v>
      </c>
    </row>
    <row r="25" spans="2:48" ht="24.95" customHeight="1" x14ac:dyDescent="0.15">
      <c r="B25" s="516"/>
      <c r="C25" s="517"/>
      <c r="D25" s="504"/>
      <c r="E25" s="504"/>
      <c r="F25" s="289"/>
      <c r="G25" s="299"/>
      <c r="H25" s="289"/>
      <c r="I25" s="290"/>
      <c r="J25" s="409"/>
      <c r="K25" s="410"/>
      <c r="L25" s="512"/>
      <c r="M25" s="513"/>
      <c r="N25" s="254"/>
      <c r="O25" s="255"/>
      <c r="P25" s="505" t="str">
        <f>IF(OR($B$22="",F25=""),"",IF(OR(D25="屋根",D25="天井"),1,IF(OR(D25="ピット等",D25="その他床",D25="外気床"),0,VLOOKUP($B$22,$AJ$7:$AL$14,2,0))))</f>
        <v/>
      </c>
      <c r="Q25" s="506"/>
      <c r="R25" s="505" t="str">
        <f>IF(OR($B$22="",F25=""),"",IF(OR(D25="屋根",D25="天井"),1,IF(OR(D25="ピット等",D25="その他床",D25="外気床"),0,VLOOKUP($B$22,$AJ$7:$AL$14,3,0))))</f>
        <v/>
      </c>
      <c r="S25" s="506"/>
      <c r="T25" s="505" t="str">
        <f t="shared" si="0"/>
        <v/>
      </c>
      <c r="U25" s="506"/>
      <c r="V25" s="505" t="str">
        <f t="shared" si="2"/>
        <v>-</v>
      </c>
      <c r="W25" s="506"/>
      <c r="X25" s="366" t="str">
        <f t="shared" si="1"/>
        <v/>
      </c>
      <c r="Y25" s="367"/>
      <c r="Z25" s="507"/>
      <c r="AA25" s="508"/>
      <c r="AB25" s="508"/>
      <c r="AC25" s="508"/>
      <c r="AD25" s="508"/>
      <c r="AE25" s="508"/>
      <c r="AF25" s="509"/>
      <c r="AI25" s="39" t="b">
        <v>1</v>
      </c>
      <c r="AJ25" s="31"/>
      <c r="AN25" s="24" t="s">
        <v>75</v>
      </c>
      <c r="AO25" s="495">
        <v>1</v>
      </c>
      <c r="AP25" s="495"/>
      <c r="AQ25" s="495"/>
      <c r="AR25" s="495"/>
      <c r="AS25" s="495"/>
      <c r="AT25" s="495"/>
      <c r="AU25" s="495"/>
      <c r="AV25" s="495"/>
    </row>
    <row r="26" spans="2:48" ht="24.95" customHeight="1" thickBot="1" x14ac:dyDescent="0.2">
      <c r="B26" s="518"/>
      <c r="C26" s="519"/>
      <c r="D26" s="496"/>
      <c r="E26" s="496"/>
      <c r="F26" s="242"/>
      <c r="G26" s="241"/>
      <c r="H26" s="242"/>
      <c r="I26" s="241"/>
      <c r="J26" s="483"/>
      <c r="K26" s="484"/>
      <c r="L26" s="537"/>
      <c r="M26" s="538"/>
      <c r="N26" s="254"/>
      <c r="O26" s="255"/>
      <c r="P26" s="499" t="str">
        <f>IF(OR($B$22="",F26=""),"",IF(OR(D26="屋根",D26="天井"),1,IF(OR(D26="ピット等",D26="その他床",D26="外気床"),0,VLOOKUP($B$22,$AJ$7:$AL$14,2,0))))</f>
        <v/>
      </c>
      <c r="Q26" s="500"/>
      <c r="R26" s="499" t="str">
        <f>IF(OR($B$22="",F26=""),"",IF(OR(D26="屋根",D26="天井"),1,IF(OR(D26="ピット等",D26="その他床",D26="外気床"),0,VLOOKUP($B$22,$AJ$7:$AL$14,3,0))))</f>
        <v/>
      </c>
      <c r="S26" s="500"/>
      <c r="T26" s="510" t="str">
        <f t="shared" si="0"/>
        <v/>
      </c>
      <c r="U26" s="511"/>
      <c r="V26" s="510" t="str">
        <f t="shared" si="2"/>
        <v>-</v>
      </c>
      <c r="W26" s="511"/>
      <c r="X26" s="318" t="str">
        <f t="shared" si="1"/>
        <v/>
      </c>
      <c r="Y26" s="381"/>
      <c r="Z26" s="501"/>
      <c r="AA26" s="502"/>
      <c r="AB26" s="502"/>
      <c r="AC26" s="502"/>
      <c r="AD26" s="502"/>
      <c r="AE26" s="502"/>
      <c r="AF26" s="503"/>
      <c r="AI26" s="39" t="b">
        <v>1</v>
      </c>
      <c r="AJ26" s="31"/>
      <c r="AN26" s="24" t="s">
        <v>76</v>
      </c>
      <c r="AO26" s="495"/>
      <c r="AP26" s="495"/>
      <c r="AQ26" s="495"/>
      <c r="AR26" s="495"/>
      <c r="AS26" s="495"/>
      <c r="AT26" s="495"/>
      <c r="AU26" s="495"/>
      <c r="AV26" s="495"/>
    </row>
    <row r="27" spans="2:48" ht="24.95" customHeight="1" x14ac:dyDescent="0.15">
      <c r="B27" s="521"/>
      <c r="C27" s="522"/>
      <c r="D27" s="531"/>
      <c r="E27" s="531"/>
      <c r="F27" s="481"/>
      <c r="G27" s="532"/>
      <c r="H27" s="250"/>
      <c r="I27" s="251"/>
      <c r="J27" s="451"/>
      <c r="K27" s="452"/>
      <c r="L27" s="535"/>
      <c r="M27" s="536"/>
      <c r="N27" s="252"/>
      <c r="O27" s="253"/>
      <c r="P27" s="533" t="str">
        <f>IF(OR($B$27="",F27=""),"",IF(OR(D27="屋根",D27="天井"),1,IF(OR(D27="ピット等",D27="その他床",D27="外気床"),0,VLOOKUP($B$27,$AJ$7:$AL$14,2,0))))</f>
        <v/>
      </c>
      <c r="Q27" s="534"/>
      <c r="R27" s="533" t="str">
        <f>IF(OR($B$27="",F27=""),"",IF(OR(D27="屋根",D27="天井"),1,IF(OR(D27="ピット等",D27="その他床",D27="外気床"),0,VLOOKUP($B$27,$AJ$7:$AL$14,3,0))))</f>
        <v/>
      </c>
      <c r="S27" s="534"/>
      <c r="T27" s="525" t="str">
        <f t="shared" si="0"/>
        <v/>
      </c>
      <c r="U27" s="526"/>
      <c r="V27" s="525" t="str">
        <f t="shared" si="2"/>
        <v>-</v>
      </c>
      <c r="W27" s="526"/>
      <c r="X27" s="315" t="str">
        <f t="shared" si="1"/>
        <v/>
      </c>
      <c r="Y27" s="527"/>
      <c r="Z27" s="528"/>
      <c r="AA27" s="529"/>
      <c r="AB27" s="529"/>
      <c r="AC27" s="529"/>
      <c r="AD27" s="529"/>
      <c r="AE27" s="529"/>
      <c r="AF27" s="530"/>
      <c r="AI27" s="39" t="b">
        <v>1</v>
      </c>
      <c r="AN27" s="24" t="s">
        <v>144</v>
      </c>
      <c r="AO27" s="25">
        <v>0.26</v>
      </c>
      <c r="AP27" s="25">
        <v>0.26300000000000001</v>
      </c>
      <c r="AQ27" s="25">
        <v>0.28399999999999997</v>
      </c>
      <c r="AR27" s="25">
        <v>0.25600000000000001</v>
      </c>
      <c r="AS27" s="25">
        <v>0.23799999999999999</v>
      </c>
      <c r="AT27" s="25">
        <v>0.26100000000000001</v>
      </c>
      <c r="AU27" s="25">
        <v>0.22700000000000001</v>
      </c>
      <c r="AV27" s="25" t="s">
        <v>145</v>
      </c>
    </row>
    <row r="28" spans="2:48" ht="24.95" customHeight="1" x14ac:dyDescent="0.15">
      <c r="B28" s="516"/>
      <c r="C28" s="517"/>
      <c r="D28" s="504"/>
      <c r="E28" s="504"/>
      <c r="F28" s="289"/>
      <c r="G28" s="299"/>
      <c r="H28" s="289"/>
      <c r="I28" s="290"/>
      <c r="J28" s="409"/>
      <c r="K28" s="410"/>
      <c r="L28" s="512"/>
      <c r="M28" s="513"/>
      <c r="N28" s="254"/>
      <c r="O28" s="255"/>
      <c r="P28" s="505" t="str">
        <f>IF(OR($B$27="",F28=""),"",IF(OR(D28="屋根",D28="天井"),1,IF(OR(D28="ピット等",D28="その他床",D28="外気床"),0,VLOOKUP($B$27,$AJ$7:$AL$14,2,0))))</f>
        <v/>
      </c>
      <c r="Q28" s="506"/>
      <c r="R28" s="505" t="str">
        <f>IF(OR($B$27="",F28=""),"",IF(OR(D28="屋根",D28="天井"),1,IF(OR(D28="ピット等",D28="その他床",D28="外気床"),0,VLOOKUP($B$27,$AJ$7:$AL$14,3,0))))</f>
        <v/>
      </c>
      <c r="S28" s="506"/>
      <c r="T28" s="505" t="str">
        <f t="shared" si="0"/>
        <v/>
      </c>
      <c r="U28" s="506"/>
      <c r="V28" s="505" t="str">
        <f t="shared" si="2"/>
        <v>-</v>
      </c>
      <c r="W28" s="506"/>
      <c r="X28" s="366" t="str">
        <f t="shared" si="1"/>
        <v/>
      </c>
      <c r="Y28" s="367"/>
      <c r="Z28" s="507"/>
      <c r="AA28" s="508"/>
      <c r="AB28" s="508"/>
      <c r="AC28" s="508"/>
      <c r="AD28" s="508"/>
      <c r="AE28" s="508"/>
      <c r="AF28" s="509"/>
      <c r="AI28" s="39" t="b">
        <v>1</v>
      </c>
      <c r="AN28" s="24" t="s">
        <v>78</v>
      </c>
      <c r="AO28" s="25">
        <v>0.33300000000000002</v>
      </c>
      <c r="AP28" s="25">
        <v>0.34100000000000003</v>
      </c>
      <c r="AQ28" s="25">
        <v>0.34799999999999998</v>
      </c>
      <c r="AR28" s="25">
        <v>0.33</v>
      </c>
      <c r="AS28" s="25">
        <v>0.31</v>
      </c>
      <c r="AT28" s="25">
        <v>0.32500000000000001</v>
      </c>
      <c r="AU28" s="25">
        <v>0.28100000000000003</v>
      </c>
      <c r="AV28" s="25" t="s">
        <v>145</v>
      </c>
    </row>
    <row r="29" spans="2:48" ht="24.95" customHeight="1" x14ac:dyDescent="0.15">
      <c r="B29" s="516"/>
      <c r="C29" s="517"/>
      <c r="D29" s="504"/>
      <c r="E29" s="504"/>
      <c r="F29" s="289"/>
      <c r="G29" s="299"/>
      <c r="H29" s="289"/>
      <c r="I29" s="290"/>
      <c r="J29" s="409"/>
      <c r="K29" s="410"/>
      <c r="L29" s="512"/>
      <c r="M29" s="513"/>
      <c r="N29" s="254"/>
      <c r="O29" s="255"/>
      <c r="P29" s="505" t="str">
        <f>IF(OR($B$27="",F29=""),"",IF(OR(D29="屋根",D29="天井"),1,IF(OR(D29="ピット等",D29="その他床",D29="外気床"),0,VLOOKUP($B$27,$AJ$7:$AL$14,2,0))))</f>
        <v/>
      </c>
      <c r="Q29" s="506"/>
      <c r="R29" s="505" t="str">
        <f>IF(OR($B$27="",F29=""),"",IF(OR(D29="屋根",D29="天井"),1,IF(OR(D29="ピット等",D29="その他床",D29="外気床"),0,VLOOKUP($B$27,$AJ$7:$AL$14,3,0))))</f>
        <v/>
      </c>
      <c r="S29" s="506"/>
      <c r="T29" s="505" t="str">
        <f t="shared" si="0"/>
        <v/>
      </c>
      <c r="U29" s="506"/>
      <c r="V29" s="505" t="str">
        <f t="shared" si="2"/>
        <v>-</v>
      </c>
      <c r="W29" s="506"/>
      <c r="X29" s="366" t="str">
        <f t="shared" si="1"/>
        <v/>
      </c>
      <c r="Y29" s="367"/>
      <c r="Z29" s="507"/>
      <c r="AA29" s="508"/>
      <c r="AB29" s="508"/>
      <c r="AC29" s="508"/>
      <c r="AD29" s="508"/>
      <c r="AE29" s="508"/>
      <c r="AF29" s="509"/>
      <c r="AI29" s="39" t="b">
        <v>1</v>
      </c>
      <c r="AN29" s="24" t="s">
        <v>79</v>
      </c>
      <c r="AO29" s="25">
        <v>0.56399999999999995</v>
      </c>
      <c r="AP29" s="25">
        <v>0.55400000000000005</v>
      </c>
      <c r="AQ29" s="25">
        <v>0.54</v>
      </c>
      <c r="AR29" s="25">
        <v>0.53100000000000003</v>
      </c>
      <c r="AS29" s="25">
        <v>0.56799999999999995</v>
      </c>
      <c r="AT29" s="25">
        <v>0.57899999999999996</v>
      </c>
      <c r="AU29" s="25">
        <v>0.54300000000000004</v>
      </c>
      <c r="AV29" s="25" t="s">
        <v>145</v>
      </c>
    </row>
    <row r="30" spans="2:48" ht="24.95" customHeight="1" x14ac:dyDescent="0.15">
      <c r="B30" s="516"/>
      <c r="C30" s="517"/>
      <c r="D30" s="504"/>
      <c r="E30" s="504"/>
      <c r="F30" s="289"/>
      <c r="G30" s="299"/>
      <c r="H30" s="289"/>
      <c r="I30" s="290"/>
      <c r="J30" s="409"/>
      <c r="K30" s="410"/>
      <c r="L30" s="512"/>
      <c r="M30" s="513"/>
      <c r="N30" s="254"/>
      <c r="O30" s="255"/>
      <c r="P30" s="505" t="str">
        <f>IF(OR($B$27="",F30=""),"",IF(OR(D30="屋根",D30="天井"),1,IF(OR(D30="ピット等",D30="その他床",D30="外気床"),0,VLOOKUP($B$27,$AJ$7:$AL$14,2,0))))</f>
        <v/>
      </c>
      <c r="Q30" s="506"/>
      <c r="R30" s="505" t="str">
        <f>IF(OR($B$27="",F30=""),"",IF(OR(D30="屋根",D30="天井"),1,IF(OR(D30="ピット等",D30="その他床",D30="外気床"),0,VLOOKUP($B$27,$AJ$7:$AL$14,3,0))))</f>
        <v/>
      </c>
      <c r="S30" s="506"/>
      <c r="T30" s="505" t="str">
        <f t="shared" si="0"/>
        <v/>
      </c>
      <c r="U30" s="506"/>
      <c r="V30" s="505" t="str">
        <f t="shared" si="2"/>
        <v>-</v>
      </c>
      <c r="W30" s="506"/>
      <c r="X30" s="366" t="str">
        <f t="shared" si="1"/>
        <v/>
      </c>
      <c r="Y30" s="367"/>
      <c r="Z30" s="507"/>
      <c r="AA30" s="508"/>
      <c r="AB30" s="508"/>
      <c r="AC30" s="508"/>
      <c r="AD30" s="508"/>
      <c r="AE30" s="508"/>
      <c r="AF30" s="509"/>
      <c r="AI30" s="39" t="b">
        <v>1</v>
      </c>
      <c r="AN30" s="24" t="s">
        <v>80</v>
      </c>
      <c r="AO30" s="25">
        <v>0.82299999999999995</v>
      </c>
      <c r="AP30" s="25">
        <v>0.76600000000000001</v>
      </c>
      <c r="AQ30" s="25">
        <v>0.751</v>
      </c>
      <c r="AR30" s="25">
        <v>0.72399999999999998</v>
      </c>
      <c r="AS30" s="25">
        <v>0.84599999999999997</v>
      </c>
      <c r="AT30" s="25">
        <v>0.83299999999999996</v>
      </c>
      <c r="AU30" s="25">
        <v>0.84299999999999997</v>
      </c>
      <c r="AV30" s="25" t="s">
        <v>145</v>
      </c>
    </row>
    <row r="31" spans="2:48" ht="24.95" customHeight="1" thickBot="1" x14ac:dyDescent="0.2">
      <c r="B31" s="523"/>
      <c r="C31" s="524"/>
      <c r="D31" s="520"/>
      <c r="E31" s="520"/>
      <c r="F31" s="242"/>
      <c r="G31" s="241"/>
      <c r="H31" s="242"/>
      <c r="I31" s="241"/>
      <c r="J31" s="483"/>
      <c r="K31" s="484"/>
      <c r="L31" s="537"/>
      <c r="M31" s="538"/>
      <c r="N31" s="254"/>
      <c r="O31" s="255"/>
      <c r="P31" s="499" t="str">
        <f>IF(OR($B$27="",F31=""),"",IF(OR(D31="屋根",D31="天井"),1,IF(OR(D31="ピット等",D31="その他床",D31="外気床"),0,VLOOKUP($B$27,$AJ$7:$AL$14,2,0))))</f>
        <v/>
      </c>
      <c r="Q31" s="500"/>
      <c r="R31" s="499" t="str">
        <f>IF(OR($B$27="",F31=""),"",IF(OR(D31="屋根",D31="天井"),1,IF(OR(D31="ピット等",D31="その他床",D31="外気床"),0,VLOOKUP($B$27,$AJ$7:$AL$14,3,0))))</f>
        <v/>
      </c>
      <c r="S31" s="500"/>
      <c r="T31" s="510" t="str">
        <f t="shared" si="0"/>
        <v/>
      </c>
      <c r="U31" s="511"/>
      <c r="V31" s="510" t="str">
        <f t="shared" si="2"/>
        <v>-</v>
      </c>
      <c r="W31" s="511"/>
      <c r="X31" s="318" t="str">
        <f t="shared" si="1"/>
        <v/>
      </c>
      <c r="Y31" s="381"/>
      <c r="Z31" s="501"/>
      <c r="AA31" s="502"/>
      <c r="AB31" s="502"/>
      <c r="AC31" s="502"/>
      <c r="AD31" s="502"/>
      <c r="AE31" s="502"/>
      <c r="AF31" s="503"/>
      <c r="AI31" s="39" t="b">
        <v>1</v>
      </c>
      <c r="AN31" s="24" t="s">
        <v>81</v>
      </c>
      <c r="AO31" s="25">
        <v>0.93500000000000005</v>
      </c>
      <c r="AP31" s="25">
        <v>0.85599999999999998</v>
      </c>
      <c r="AQ31" s="25">
        <v>0.85099999999999998</v>
      </c>
      <c r="AR31" s="25">
        <v>0.81499999999999995</v>
      </c>
      <c r="AS31" s="25">
        <v>0.98299999999999998</v>
      </c>
      <c r="AT31" s="25">
        <v>0.93600000000000005</v>
      </c>
      <c r="AU31" s="25">
        <v>1.0229999999999999</v>
      </c>
      <c r="AV31" s="25" t="s">
        <v>145</v>
      </c>
    </row>
    <row r="32" spans="2:48" ht="24.95" customHeight="1" x14ac:dyDescent="0.15">
      <c r="B32" s="514"/>
      <c r="C32" s="515"/>
      <c r="D32" s="250"/>
      <c r="E32" s="251"/>
      <c r="F32" s="250"/>
      <c r="G32" s="251"/>
      <c r="H32" s="250"/>
      <c r="I32" s="251"/>
      <c r="J32" s="451"/>
      <c r="K32" s="452"/>
      <c r="L32" s="535"/>
      <c r="M32" s="536"/>
      <c r="N32" s="252"/>
      <c r="O32" s="253"/>
      <c r="P32" s="533" t="str">
        <f>IF(OR($B$32="",F32=""),"",IF(OR(D32="屋根",D32="天井"),1,IF(OR(D32="ピット等",D32="その他床",D32="外気床"),0,VLOOKUP($B$32,$AJ$7:$AL$14,2,0))))</f>
        <v/>
      </c>
      <c r="Q32" s="534"/>
      <c r="R32" s="533" t="str">
        <f>IF(OR($B$32="",F32=""),"",IF(OR(D32="屋根",D32="天井"),1,IF(OR(D32="ピット等",D32="その他床",D32="外気床"),0,VLOOKUP($B$32,$AJ$7:$AL$14,3,0))))</f>
        <v/>
      </c>
      <c r="S32" s="534"/>
      <c r="T32" s="525" t="str">
        <f t="shared" si="0"/>
        <v/>
      </c>
      <c r="U32" s="526"/>
      <c r="V32" s="525" t="str">
        <f t="shared" si="2"/>
        <v>-</v>
      </c>
      <c r="W32" s="526"/>
      <c r="X32" s="315" t="str">
        <f t="shared" si="1"/>
        <v/>
      </c>
      <c r="Y32" s="527"/>
      <c r="Z32" s="528"/>
      <c r="AA32" s="529"/>
      <c r="AB32" s="529"/>
      <c r="AC32" s="529"/>
      <c r="AD32" s="529"/>
      <c r="AE32" s="529"/>
      <c r="AF32" s="530"/>
      <c r="AI32" s="39" t="b">
        <v>1</v>
      </c>
      <c r="AN32" s="24" t="s">
        <v>82</v>
      </c>
      <c r="AO32" s="25">
        <v>0.79</v>
      </c>
      <c r="AP32" s="25">
        <v>0.753</v>
      </c>
      <c r="AQ32" s="25">
        <v>0.75</v>
      </c>
      <c r="AR32" s="25">
        <v>0.72299999999999998</v>
      </c>
      <c r="AS32" s="25">
        <v>0.81499999999999995</v>
      </c>
      <c r="AT32" s="25">
        <v>0.76300000000000001</v>
      </c>
      <c r="AU32" s="25">
        <v>0.84799999999999998</v>
      </c>
      <c r="AV32" s="25" t="s">
        <v>145</v>
      </c>
    </row>
    <row r="33" spans="2:48" ht="24.95" customHeight="1" x14ac:dyDescent="0.15">
      <c r="B33" s="516"/>
      <c r="C33" s="517"/>
      <c r="D33" s="504"/>
      <c r="E33" s="504"/>
      <c r="F33" s="289"/>
      <c r="G33" s="299"/>
      <c r="H33" s="289"/>
      <c r="I33" s="290"/>
      <c r="J33" s="409"/>
      <c r="K33" s="410"/>
      <c r="L33" s="512"/>
      <c r="M33" s="513"/>
      <c r="N33" s="254"/>
      <c r="O33" s="255"/>
      <c r="P33" s="505" t="str">
        <f>IF(OR($B$32="",F33=""),"",IF(OR(D33="屋根",D33="天井"),1,IF(OR(D33="ピット等",D33="その他床",D33="外気床"),0,VLOOKUP($B$32,$AJ$7:$AL$14,2,0))))</f>
        <v/>
      </c>
      <c r="Q33" s="506"/>
      <c r="R33" s="505" t="str">
        <f>IF(OR($B$32="",F33=""),"",IF(OR(D33="屋根",D33="天井"),1,IF(OR(D33="ピット等",D33="その他床",D33="外気床"),0,VLOOKUP($B$32,$AJ$7:$AL$14,3,0))))</f>
        <v/>
      </c>
      <c r="S33" s="506"/>
      <c r="T33" s="505" t="str">
        <f t="shared" si="0"/>
        <v/>
      </c>
      <c r="U33" s="506"/>
      <c r="V33" s="505" t="str">
        <f t="shared" si="2"/>
        <v>-</v>
      </c>
      <c r="W33" s="506"/>
      <c r="X33" s="366" t="str">
        <f t="shared" si="1"/>
        <v/>
      </c>
      <c r="Y33" s="367"/>
      <c r="Z33" s="507"/>
      <c r="AA33" s="508"/>
      <c r="AB33" s="508"/>
      <c r="AC33" s="508"/>
      <c r="AD33" s="508"/>
      <c r="AE33" s="508"/>
      <c r="AF33" s="509"/>
      <c r="AI33" s="39" t="b">
        <v>1</v>
      </c>
      <c r="AN33" s="24" t="s">
        <v>83</v>
      </c>
      <c r="AO33" s="25">
        <v>0.53500000000000003</v>
      </c>
      <c r="AP33" s="25">
        <v>0.54400000000000004</v>
      </c>
      <c r="AQ33" s="25">
        <v>0.54200000000000004</v>
      </c>
      <c r="AR33" s="25">
        <v>0.52700000000000002</v>
      </c>
      <c r="AS33" s="25">
        <v>0.53800000000000003</v>
      </c>
      <c r="AT33" s="25">
        <v>0.52300000000000002</v>
      </c>
      <c r="AU33" s="25">
        <v>0.54800000000000004</v>
      </c>
      <c r="AV33" s="25" t="s">
        <v>145</v>
      </c>
    </row>
    <row r="34" spans="2:48" ht="24.95" customHeight="1" x14ac:dyDescent="0.15">
      <c r="B34" s="516"/>
      <c r="C34" s="517"/>
      <c r="D34" s="504"/>
      <c r="E34" s="504"/>
      <c r="F34" s="289"/>
      <c r="G34" s="299"/>
      <c r="H34" s="289"/>
      <c r="I34" s="290"/>
      <c r="J34" s="409"/>
      <c r="K34" s="410"/>
      <c r="L34" s="512"/>
      <c r="M34" s="513"/>
      <c r="N34" s="254"/>
      <c r="O34" s="255"/>
      <c r="P34" s="505" t="str">
        <f>IF(OR($B$32="",F34=""),"",IF(OR(D34="屋根",D34="天井"),1,IF(OR(D34="ピット等",D34="その他床",D34="外気床"),0,VLOOKUP($B$32,$AJ$7:$AL$14,2,0))))</f>
        <v/>
      </c>
      <c r="Q34" s="506"/>
      <c r="R34" s="505" t="str">
        <f>IF(OR($B$32="",F34=""),"",IF(OR(D34="屋根",D34="天井"),1,IF(OR(D34="ピット等",D34="その他床",D34="外気床"),0,VLOOKUP($B$32,$AJ$7:$AL$14,3,0))))</f>
        <v/>
      </c>
      <c r="S34" s="506"/>
      <c r="T34" s="505" t="str">
        <f t="shared" si="0"/>
        <v/>
      </c>
      <c r="U34" s="506"/>
      <c r="V34" s="505" t="str">
        <f t="shared" si="2"/>
        <v>-</v>
      </c>
      <c r="W34" s="506"/>
      <c r="X34" s="366" t="str">
        <f t="shared" si="1"/>
        <v/>
      </c>
      <c r="Y34" s="367"/>
      <c r="Z34" s="507"/>
      <c r="AA34" s="508"/>
      <c r="AB34" s="508"/>
      <c r="AC34" s="508"/>
      <c r="AD34" s="508"/>
      <c r="AE34" s="508"/>
      <c r="AF34" s="509"/>
      <c r="AI34" s="39" t="b">
        <v>1</v>
      </c>
      <c r="AN34" s="24" t="s">
        <v>77</v>
      </c>
      <c r="AO34" s="25">
        <v>0.32500000000000001</v>
      </c>
      <c r="AP34" s="25">
        <v>0.34100000000000003</v>
      </c>
      <c r="AQ34" s="25">
        <v>0.35099999999999998</v>
      </c>
      <c r="AR34" s="25">
        <v>0.32600000000000001</v>
      </c>
      <c r="AS34" s="25">
        <v>0.29699999999999999</v>
      </c>
      <c r="AT34" s="25">
        <v>0.317</v>
      </c>
      <c r="AU34" s="25">
        <v>0.28399999999999997</v>
      </c>
      <c r="AV34" s="25" t="s">
        <v>145</v>
      </c>
    </row>
    <row r="35" spans="2:48" ht="24.95" customHeight="1" x14ac:dyDescent="0.15">
      <c r="B35" s="516"/>
      <c r="C35" s="517"/>
      <c r="D35" s="504"/>
      <c r="E35" s="504"/>
      <c r="F35" s="289"/>
      <c r="G35" s="299"/>
      <c r="H35" s="289"/>
      <c r="I35" s="290"/>
      <c r="J35" s="409"/>
      <c r="K35" s="410"/>
      <c r="L35" s="512"/>
      <c r="M35" s="513"/>
      <c r="N35" s="254"/>
      <c r="O35" s="255"/>
      <c r="P35" s="505" t="str">
        <f>IF(OR($B$32="",F35=""),"",IF(OR(D35="屋根",D35="天井"),1,IF(OR(D35="ピット等",D35="その他床",D35="外気床"),0,VLOOKUP($B$32,$AJ$7:$AL$14,2,0))))</f>
        <v/>
      </c>
      <c r="Q35" s="506"/>
      <c r="R35" s="505" t="str">
        <f>IF(OR($B$32="",F35=""),"",IF(OR(D35="屋根",D35="天井"),1,IF(OR(D35="ピット等",D35="その他床",D35="外気床"),0,VLOOKUP($B$32,$AJ$7:$AL$14,3,0))))</f>
        <v/>
      </c>
      <c r="S35" s="506"/>
      <c r="T35" s="505" t="str">
        <f t="shared" si="0"/>
        <v/>
      </c>
      <c r="U35" s="506"/>
      <c r="V35" s="505" t="str">
        <f t="shared" si="2"/>
        <v>-</v>
      </c>
      <c r="W35" s="506"/>
      <c r="X35" s="366" t="str">
        <f t="shared" si="1"/>
        <v/>
      </c>
      <c r="Y35" s="367"/>
      <c r="Z35" s="507"/>
      <c r="AA35" s="508"/>
      <c r="AB35" s="508"/>
      <c r="AC35" s="508"/>
      <c r="AD35" s="508"/>
      <c r="AE35" s="508"/>
      <c r="AF35" s="509"/>
      <c r="AI35" s="39" t="b">
        <v>1</v>
      </c>
      <c r="AN35" s="24" t="s">
        <v>84</v>
      </c>
      <c r="AO35" s="495">
        <v>0</v>
      </c>
      <c r="AP35" s="495"/>
      <c r="AQ35" s="495"/>
      <c r="AR35" s="495"/>
      <c r="AS35" s="495"/>
      <c r="AT35" s="495"/>
      <c r="AU35" s="495"/>
      <c r="AV35" s="495"/>
    </row>
    <row r="36" spans="2:48" ht="24.95" customHeight="1" thickBot="1" x14ac:dyDescent="0.2">
      <c r="B36" s="518"/>
      <c r="C36" s="519"/>
      <c r="D36" s="496"/>
      <c r="E36" s="496"/>
      <c r="F36" s="242"/>
      <c r="G36" s="241"/>
      <c r="H36" s="242"/>
      <c r="I36" s="241"/>
      <c r="J36" s="483"/>
      <c r="K36" s="484"/>
      <c r="L36" s="568"/>
      <c r="M36" s="569"/>
      <c r="N36" s="497"/>
      <c r="O36" s="498"/>
      <c r="P36" s="499" t="str">
        <f>IF(OR($B$32="",F36=""),"",IF(OR(D36="屋根",D36="天井"),1,IF(OR(D36="ピット等",D36="その他床",D36="外気床"),0,VLOOKUP($B$32,$AJ$7:$AL$14,2,0))))</f>
        <v/>
      </c>
      <c r="Q36" s="500"/>
      <c r="R36" s="499" t="str">
        <f>IF(OR($B$32="",F36=""),"",IF(OR(D36="屋根",D36="天井"),1,IF(OR(D36="ピット等",D36="その他床",D36="外気床"),0,VLOOKUP($B$32,$AJ$7:$AL$14,3,0))))</f>
        <v/>
      </c>
      <c r="S36" s="500"/>
      <c r="T36" s="499" t="str">
        <f t="shared" si="0"/>
        <v/>
      </c>
      <c r="U36" s="500"/>
      <c r="V36" s="499" t="str">
        <f t="shared" si="2"/>
        <v>-</v>
      </c>
      <c r="W36" s="500"/>
      <c r="X36" s="318" t="str">
        <f t="shared" si="1"/>
        <v/>
      </c>
      <c r="Y36" s="381"/>
      <c r="Z36" s="501"/>
      <c r="AA36" s="502"/>
      <c r="AB36" s="502"/>
      <c r="AC36" s="502"/>
      <c r="AD36" s="502"/>
      <c r="AE36" s="502"/>
      <c r="AF36" s="503"/>
      <c r="AI36" s="39" t="b">
        <v>1</v>
      </c>
      <c r="AN36" s="24" t="s">
        <v>85</v>
      </c>
      <c r="AO36" s="495"/>
      <c r="AP36" s="495"/>
      <c r="AQ36" s="495"/>
      <c r="AR36" s="495"/>
      <c r="AS36" s="495"/>
      <c r="AT36" s="495"/>
      <c r="AU36" s="495"/>
      <c r="AV36" s="495"/>
    </row>
    <row r="37" spans="2:48" ht="24.95" customHeight="1" x14ac:dyDescent="0.15">
      <c r="AN37" s="24" t="s">
        <v>86</v>
      </c>
      <c r="AO37" s="495"/>
      <c r="AP37" s="495"/>
      <c r="AQ37" s="495"/>
      <c r="AR37" s="495"/>
      <c r="AS37" s="495"/>
      <c r="AT37" s="495"/>
      <c r="AU37" s="495"/>
      <c r="AV37" s="495"/>
    </row>
    <row r="38" spans="2:48" ht="24.95" customHeight="1" thickBot="1" x14ac:dyDescent="0.2">
      <c r="B38" s="4" t="s">
        <v>90</v>
      </c>
      <c r="C38" s="2"/>
      <c r="D38" s="2"/>
      <c r="E38" s="2"/>
      <c r="F38" s="4"/>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2:48" ht="24.95" customHeight="1" x14ac:dyDescent="0.15">
      <c r="B39" s="339" t="s">
        <v>88</v>
      </c>
      <c r="C39" s="463"/>
      <c r="D39" s="36" t="s">
        <v>42</v>
      </c>
      <c r="E39" s="37"/>
      <c r="F39" s="37"/>
      <c r="G39" s="37"/>
      <c r="H39" s="37"/>
      <c r="I39" s="37"/>
      <c r="J39" s="37"/>
      <c r="K39" s="37"/>
      <c r="L39" s="37"/>
      <c r="M39" s="37"/>
      <c r="N39" s="37"/>
      <c r="O39" s="37"/>
      <c r="P39" s="36"/>
      <c r="Q39" s="37"/>
      <c r="R39" s="37"/>
      <c r="S39" s="37"/>
      <c r="T39" s="37"/>
      <c r="U39" s="37"/>
      <c r="V39" s="37"/>
      <c r="W39" s="37"/>
      <c r="X39" s="37"/>
      <c r="Y39" s="37"/>
      <c r="Z39" s="37"/>
      <c r="AA39" s="28"/>
      <c r="AB39" s="28"/>
      <c r="AC39" s="301">
        <f>SUM(T7:U36)</f>
        <v>0</v>
      </c>
      <c r="AD39" s="301"/>
      <c r="AE39" s="346" t="s">
        <v>261</v>
      </c>
      <c r="AF39" s="570"/>
    </row>
    <row r="40" spans="2:48" ht="24.95" customHeight="1" x14ac:dyDescent="0.15">
      <c r="B40" s="341"/>
      <c r="C40" s="464"/>
      <c r="D40" s="38" t="s">
        <v>43</v>
      </c>
      <c r="E40" s="14"/>
      <c r="F40" s="14"/>
      <c r="G40" s="14"/>
      <c r="H40" s="14"/>
      <c r="I40" s="14"/>
      <c r="J40" s="14"/>
      <c r="K40" s="14"/>
      <c r="L40" s="14"/>
      <c r="M40" s="14"/>
      <c r="N40" s="14"/>
      <c r="O40" s="14"/>
      <c r="P40" s="38"/>
      <c r="Q40" s="14"/>
      <c r="R40" s="14"/>
      <c r="S40" s="14"/>
      <c r="T40" s="14"/>
      <c r="U40" s="14"/>
      <c r="V40" s="14"/>
      <c r="W40" s="14"/>
      <c r="X40" s="14"/>
      <c r="Y40" s="14"/>
      <c r="Z40" s="14"/>
      <c r="AA40" s="29"/>
      <c r="AB40" s="29"/>
      <c r="AC40" s="348">
        <f>IF(共通条件・結果!AA7="８地域","-",SUM(V7:W36))</f>
        <v>0</v>
      </c>
      <c r="AD40" s="348"/>
      <c r="AE40" s="302" t="s">
        <v>261</v>
      </c>
      <c r="AF40" s="303"/>
    </row>
    <row r="41" spans="2:48" ht="24.95" customHeight="1" thickBot="1" x14ac:dyDescent="0.2">
      <c r="B41" s="343"/>
      <c r="C41" s="465"/>
      <c r="D41" s="35" t="s">
        <v>12</v>
      </c>
      <c r="E41" s="15"/>
      <c r="F41" s="15"/>
      <c r="G41" s="15"/>
      <c r="H41" s="15"/>
      <c r="I41" s="15"/>
      <c r="J41" s="15"/>
      <c r="K41" s="15"/>
      <c r="L41" s="15"/>
      <c r="M41" s="15"/>
      <c r="N41" s="15"/>
      <c r="O41" s="15"/>
      <c r="P41" s="35"/>
      <c r="Q41" s="5"/>
      <c r="R41" s="30"/>
      <c r="S41" s="30"/>
      <c r="T41" s="30"/>
      <c r="U41" s="15"/>
      <c r="V41" s="15"/>
      <c r="W41" s="15"/>
      <c r="X41" s="15"/>
      <c r="Y41" s="15"/>
      <c r="Z41" s="15"/>
      <c r="AA41" s="30"/>
      <c r="AB41" s="30"/>
      <c r="AC41" s="310">
        <f>SUM(X7:Y36)</f>
        <v>0</v>
      </c>
      <c r="AD41" s="310"/>
      <c r="AE41" s="15" t="s">
        <v>146</v>
      </c>
      <c r="AF41" s="6"/>
    </row>
    <row r="42" spans="2:48" ht="24.95" hidden="1" customHeight="1" x14ac:dyDescent="0.15"/>
    <row r="43" spans="2:48" ht="24.95" hidden="1" customHeight="1" x14ac:dyDescent="0.15"/>
    <row r="44" spans="2:48" ht="24.95" hidden="1" customHeight="1" x14ac:dyDescent="0.15">
      <c r="G44" s="87"/>
      <c r="H44" s="86"/>
      <c r="P44" s="31"/>
      <c r="Q44" s="24" t="s">
        <v>218</v>
      </c>
      <c r="R44" s="24" t="s">
        <v>219</v>
      </c>
      <c r="S44" s="24" t="s">
        <v>94</v>
      </c>
      <c r="T44" s="24" t="s">
        <v>95</v>
      </c>
      <c r="U44" s="24" t="s">
        <v>96</v>
      </c>
      <c r="V44" s="24" t="s">
        <v>97</v>
      </c>
      <c r="W44" s="24" t="s">
        <v>98</v>
      </c>
      <c r="X44" s="24" t="s">
        <v>220</v>
      </c>
      <c r="Y44" s="24" t="s">
        <v>221</v>
      </c>
    </row>
    <row r="45" spans="2:48" ht="24.95" hidden="1" customHeight="1" x14ac:dyDescent="0.15">
      <c r="G45" s="11"/>
      <c r="H45" s="11"/>
      <c r="P45" s="31"/>
      <c r="Q45" s="24" t="s">
        <v>222</v>
      </c>
      <c r="R45" s="24" t="s">
        <v>222</v>
      </c>
      <c r="S45" s="24" t="s">
        <v>222</v>
      </c>
      <c r="T45" s="24" t="s">
        <v>222</v>
      </c>
      <c r="U45" s="24" t="s">
        <v>222</v>
      </c>
      <c r="V45" s="24" t="s">
        <v>222</v>
      </c>
      <c r="W45" s="24" t="s">
        <v>222</v>
      </c>
      <c r="X45" s="24" t="s">
        <v>223</v>
      </c>
      <c r="Y45" s="24" t="s">
        <v>75</v>
      </c>
    </row>
    <row r="46" spans="2:48" ht="24.95" hidden="1" customHeight="1" x14ac:dyDescent="0.15">
      <c r="G46" s="87"/>
      <c r="H46" s="11"/>
      <c r="P46" s="31"/>
      <c r="Q46" s="24" t="s">
        <v>224</v>
      </c>
      <c r="R46" s="24" t="s">
        <v>224</v>
      </c>
      <c r="S46" s="24" t="s">
        <v>224</v>
      </c>
      <c r="T46" s="24" t="s">
        <v>224</v>
      </c>
      <c r="U46" s="24" t="s">
        <v>224</v>
      </c>
      <c r="V46" s="24" t="s">
        <v>224</v>
      </c>
      <c r="W46" s="24" t="s">
        <v>224</v>
      </c>
      <c r="X46" s="24" t="s">
        <v>225</v>
      </c>
      <c r="Y46" s="24" t="s">
        <v>76</v>
      </c>
    </row>
    <row r="47" spans="2:48" ht="24.95" hidden="1" customHeight="1" x14ac:dyDescent="0.15">
      <c r="G47" s="11"/>
      <c r="H47" s="11"/>
      <c r="P47" s="31"/>
      <c r="Q47" s="24" t="s">
        <v>226</v>
      </c>
      <c r="R47" s="24" t="s">
        <v>226</v>
      </c>
      <c r="S47" s="24" t="s">
        <v>226</v>
      </c>
      <c r="T47" s="24" t="s">
        <v>226</v>
      </c>
      <c r="U47" s="24" t="s">
        <v>226</v>
      </c>
      <c r="V47" s="24" t="s">
        <v>226</v>
      </c>
      <c r="W47" s="24" t="s">
        <v>226</v>
      </c>
      <c r="X47" s="24" t="s">
        <v>227</v>
      </c>
      <c r="Y47" s="24" t="s">
        <v>84</v>
      </c>
    </row>
    <row r="48" spans="2:48" ht="24.95" hidden="1" customHeight="1" x14ac:dyDescent="0.15">
      <c r="P48" s="31"/>
      <c r="Q48" s="24" t="s">
        <v>228</v>
      </c>
      <c r="R48" s="24" t="s">
        <v>228</v>
      </c>
      <c r="S48" s="24" t="s">
        <v>228</v>
      </c>
      <c r="T48" s="24" t="s">
        <v>228</v>
      </c>
      <c r="U48" s="24" t="s">
        <v>228</v>
      </c>
      <c r="V48" s="24" t="s">
        <v>228</v>
      </c>
      <c r="W48" s="24" t="s">
        <v>228</v>
      </c>
      <c r="X48" s="24" t="s">
        <v>229</v>
      </c>
      <c r="Y48" s="24" t="s">
        <v>85</v>
      </c>
    </row>
    <row r="49" spans="17:25" ht="24.95" hidden="1" customHeight="1" x14ac:dyDescent="0.15">
      <c r="Q49" s="24" t="s">
        <v>230</v>
      </c>
      <c r="R49" s="24" t="s">
        <v>230</v>
      </c>
      <c r="S49" s="24" t="s">
        <v>230</v>
      </c>
      <c r="T49" s="24" t="s">
        <v>230</v>
      </c>
      <c r="U49" s="24" t="s">
        <v>230</v>
      </c>
      <c r="V49" s="24" t="s">
        <v>230</v>
      </c>
      <c r="W49" s="24" t="s">
        <v>230</v>
      </c>
      <c r="X49" s="24" t="s">
        <v>231</v>
      </c>
      <c r="Y49" s="24" t="s">
        <v>86</v>
      </c>
    </row>
    <row r="50" spans="17:25" ht="24.95" customHeight="1" x14ac:dyDescent="0.15"/>
    <row r="51" spans="17:25" ht="24.95" customHeight="1" x14ac:dyDescent="0.15"/>
    <row r="52" spans="17:25" ht="24.95" customHeight="1" x14ac:dyDescent="0.15"/>
    <row r="53" spans="17:25" ht="24.95" customHeight="1" x14ac:dyDescent="0.15"/>
    <row r="54" spans="17:25" ht="24.95" customHeight="1" x14ac:dyDescent="0.15"/>
    <row r="55" spans="17:25" ht="24.95" customHeight="1" x14ac:dyDescent="0.15"/>
    <row r="56" spans="17:25" ht="24.95" customHeight="1" x14ac:dyDescent="0.15"/>
    <row r="57" spans="17:25" ht="24.95" customHeight="1" x14ac:dyDescent="0.15"/>
    <row r="58" spans="17:25" ht="24.95" customHeight="1" x14ac:dyDescent="0.15"/>
    <row r="59" spans="17:25" ht="24.95" customHeight="1" x14ac:dyDescent="0.15"/>
    <row r="60" spans="17:25" ht="24.95" customHeight="1" x14ac:dyDescent="0.15"/>
    <row r="61" spans="17:25" ht="24.95" customHeight="1" x14ac:dyDescent="0.15"/>
    <row r="62" spans="17:25" ht="24.95" customHeight="1" x14ac:dyDescent="0.15"/>
    <row r="63" spans="17:25" ht="24.95" customHeight="1" x14ac:dyDescent="0.15"/>
    <row r="64" spans="17:25"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sheetData>
  <sheetProtection algorithmName="SHA-512" hashValue="jN6yoohGhAsfuWAw/XrCZLquOckOhdj4xjkwc/8R9jz1L611QZDvveyuycNLVtWLisNFAZEZlMdRhhWJeFKtCQ==" saltValue="5Jb2Wkto4o6nj5/TTDhLVw==" spinCount="100000" sheet="1" objects="1" scenarios="1" selectLockedCells="1"/>
  <mergeCells count="395">
    <mergeCell ref="AE39:AF39"/>
    <mergeCell ref="AE40:AF40"/>
    <mergeCell ref="L30:M30"/>
    <mergeCell ref="L31:M31"/>
    <mergeCell ref="L32:M32"/>
    <mergeCell ref="L33:M33"/>
    <mergeCell ref="L34:M34"/>
    <mergeCell ref="L35:M35"/>
    <mergeCell ref="L36:M36"/>
    <mergeCell ref="Z31:AF31"/>
    <mergeCell ref="N31:O31"/>
    <mergeCell ref="P31:Q31"/>
    <mergeCell ref="Z32:AF32"/>
    <mergeCell ref="N33:O33"/>
    <mergeCell ref="P33:Q33"/>
    <mergeCell ref="R33:S33"/>
    <mergeCell ref="N32:O32"/>
    <mergeCell ref="P32:Q32"/>
    <mergeCell ref="R32:S32"/>
    <mergeCell ref="T32:U32"/>
    <mergeCell ref="V32:W32"/>
    <mergeCell ref="X32:Y32"/>
    <mergeCell ref="X33:Y33"/>
    <mergeCell ref="R31:S31"/>
    <mergeCell ref="L17:M17"/>
    <mergeCell ref="L18:M18"/>
    <mergeCell ref="L19:M19"/>
    <mergeCell ref="L20:M20"/>
    <mergeCell ref="L21:M21"/>
    <mergeCell ref="L22:M22"/>
    <mergeCell ref="L23:M23"/>
    <mergeCell ref="L24:M24"/>
    <mergeCell ref="L25:M25"/>
    <mergeCell ref="L8:M8"/>
    <mergeCell ref="L9:M9"/>
    <mergeCell ref="L10:M10"/>
    <mergeCell ref="L11:M11"/>
    <mergeCell ref="L12:M12"/>
    <mergeCell ref="L13:M13"/>
    <mergeCell ref="L14:M14"/>
    <mergeCell ref="L15:M15"/>
    <mergeCell ref="L16:M16"/>
    <mergeCell ref="X4:Y6"/>
    <mergeCell ref="Z4:AF6"/>
    <mergeCell ref="P5:Q6"/>
    <mergeCell ref="R5:S6"/>
    <mergeCell ref="AN5:AN6"/>
    <mergeCell ref="AO5:AV5"/>
    <mergeCell ref="B2:AF2"/>
    <mergeCell ref="B4:C6"/>
    <mergeCell ref="D4:E6"/>
    <mergeCell ref="F4:G6"/>
    <mergeCell ref="H4:I6"/>
    <mergeCell ref="J4:K6"/>
    <mergeCell ref="N4:O6"/>
    <mergeCell ref="P4:S4"/>
    <mergeCell ref="T4:U6"/>
    <mergeCell ref="V4:W6"/>
    <mergeCell ref="L4:M6"/>
    <mergeCell ref="AO7:AV8"/>
    <mergeCell ref="D8:E8"/>
    <mergeCell ref="F8:G8"/>
    <mergeCell ref="H8:I8"/>
    <mergeCell ref="J8:K8"/>
    <mergeCell ref="N8:O8"/>
    <mergeCell ref="P8:Q8"/>
    <mergeCell ref="R8:S8"/>
    <mergeCell ref="T8:U8"/>
    <mergeCell ref="V8:W8"/>
    <mergeCell ref="P7:Q7"/>
    <mergeCell ref="R7:S7"/>
    <mergeCell ref="T7:U7"/>
    <mergeCell ref="V7:W7"/>
    <mergeCell ref="X7:Y7"/>
    <mergeCell ref="Z7:AF7"/>
    <mergeCell ref="D7:E7"/>
    <mergeCell ref="F7:G7"/>
    <mergeCell ref="H7:I7"/>
    <mergeCell ref="J7:K7"/>
    <mergeCell ref="N7:O7"/>
    <mergeCell ref="X8:Y8"/>
    <mergeCell ref="Z8:AF8"/>
    <mergeCell ref="L7:M7"/>
    <mergeCell ref="X9:Y9"/>
    <mergeCell ref="Z9:AF9"/>
    <mergeCell ref="D10:E10"/>
    <mergeCell ref="F10:G10"/>
    <mergeCell ref="H10:I10"/>
    <mergeCell ref="J10:K10"/>
    <mergeCell ref="N10:O10"/>
    <mergeCell ref="P10:Q10"/>
    <mergeCell ref="R10:S10"/>
    <mergeCell ref="T10:U10"/>
    <mergeCell ref="V10:W10"/>
    <mergeCell ref="X10:Y10"/>
    <mergeCell ref="Z10:AF10"/>
    <mergeCell ref="D9:E9"/>
    <mergeCell ref="F9:G9"/>
    <mergeCell ref="H9:I9"/>
    <mergeCell ref="J9:K9"/>
    <mergeCell ref="N9:O9"/>
    <mergeCell ref="P9:Q9"/>
    <mergeCell ref="R9:S9"/>
    <mergeCell ref="T9:U9"/>
    <mergeCell ref="V9:W9"/>
    <mergeCell ref="D11:E11"/>
    <mergeCell ref="F11:G11"/>
    <mergeCell ref="H11:I11"/>
    <mergeCell ref="J11:K11"/>
    <mergeCell ref="N11:O11"/>
    <mergeCell ref="P11:Q11"/>
    <mergeCell ref="R11:S11"/>
    <mergeCell ref="T11:U11"/>
    <mergeCell ref="V11:W11"/>
    <mergeCell ref="X11:Y11"/>
    <mergeCell ref="Z11:AF11"/>
    <mergeCell ref="B12:C16"/>
    <mergeCell ref="D12:E12"/>
    <mergeCell ref="F12:G12"/>
    <mergeCell ref="H12:I12"/>
    <mergeCell ref="J12:K12"/>
    <mergeCell ref="B7:C11"/>
    <mergeCell ref="Z12:AF12"/>
    <mergeCell ref="D13:E13"/>
    <mergeCell ref="F13:G13"/>
    <mergeCell ref="H13:I13"/>
    <mergeCell ref="J13:K13"/>
    <mergeCell ref="N13:O13"/>
    <mergeCell ref="P13:Q13"/>
    <mergeCell ref="R13:S13"/>
    <mergeCell ref="T13:U13"/>
    <mergeCell ref="V13:W13"/>
    <mergeCell ref="N12:O12"/>
    <mergeCell ref="P12:Q12"/>
    <mergeCell ref="R12:S12"/>
    <mergeCell ref="T12:U12"/>
    <mergeCell ref="V12:W12"/>
    <mergeCell ref="X12:Y12"/>
    <mergeCell ref="X13:Y13"/>
    <mergeCell ref="Z13:AF13"/>
    <mergeCell ref="D14:E14"/>
    <mergeCell ref="F14:G14"/>
    <mergeCell ref="H14:I14"/>
    <mergeCell ref="J14:K14"/>
    <mergeCell ref="N14:O14"/>
    <mergeCell ref="P14:Q14"/>
    <mergeCell ref="R14:S14"/>
    <mergeCell ref="T14:U14"/>
    <mergeCell ref="V14:W14"/>
    <mergeCell ref="X14:Y14"/>
    <mergeCell ref="Z14:AF14"/>
    <mergeCell ref="X15:Y15"/>
    <mergeCell ref="Z15:AF15"/>
    <mergeCell ref="D16:E16"/>
    <mergeCell ref="F16:G16"/>
    <mergeCell ref="H16:I16"/>
    <mergeCell ref="J16:K16"/>
    <mergeCell ref="N16:O16"/>
    <mergeCell ref="P16:Q16"/>
    <mergeCell ref="R16:S16"/>
    <mergeCell ref="T16:U16"/>
    <mergeCell ref="V16:W16"/>
    <mergeCell ref="X16:Y16"/>
    <mergeCell ref="Z16:AF16"/>
    <mergeCell ref="D15:E15"/>
    <mergeCell ref="F15:G15"/>
    <mergeCell ref="H15:I15"/>
    <mergeCell ref="J15:K15"/>
    <mergeCell ref="N15:O15"/>
    <mergeCell ref="P15:Q15"/>
    <mergeCell ref="R15:S15"/>
    <mergeCell ref="T15:U15"/>
    <mergeCell ref="V15:W15"/>
    <mergeCell ref="Z17:AF17"/>
    <mergeCell ref="AO17:AV19"/>
    <mergeCell ref="D18:E18"/>
    <mergeCell ref="F18:G18"/>
    <mergeCell ref="H18:I18"/>
    <mergeCell ref="J18:K18"/>
    <mergeCell ref="N18:O18"/>
    <mergeCell ref="P18:Q18"/>
    <mergeCell ref="R18:S18"/>
    <mergeCell ref="T18:U18"/>
    <mergeCell ref="N17:O17"/>
    <mergeCell ref="P17:Q17"/>
    <mergeCell ref="R17:S17"/>
    <mergeCell ref="T17:U17"/>
    <mergeCell ref="V17:W17"/>
    <mergeCell ref="X17:Y17"/>
    <mergeCell ref="V18:W18"/>
    <mergeCell ref="X18:Y18"/>
    <mergeCell ref="Z18:AF18"/>
    <mergeCell ref="T19:U19"/>
    <mergeCell ref="V19:W19"/>
    <mergeCell ref="X19:Y19"/>
    <mergeCell ref="Z19:AF19"/>
    <mergeCell ref="R19:S19"/>
    <mergeCell ref="D21:E21"/>
    <mergeCell ref="F21:G21"/>
    <mergeCell ref="H21:I21"/>
    <mergeCell ref="J21:K21"/>
    <mergeCell ref="N21:O21"/>
    <mergeCell ref="P21:Q21"/>
    <mergeCell ref="R21:S21"/>
    <mergeCell ref="B17:C21"/>
    <mergeCell ref="D17:E17"/>
    <mergeCell ref="F17:G17"/>
    <mergeCell ref="H17:I17"/>
    <mergeCell ref="J17:K17"/>
    <mergeCell ref="D20:E20"/>
    <mergeCell ref="F20:G20"/>
    <mergeCell ref="H20:I20"/>
    <mergeCell ref="J20:K20"/>
    <mergeCell ref="N20:O20"/>
    <mergeCell ref="P20:Q20"/>
    <mergeCell ref="D19:E19"/>
    <mergeCell ref="F19:G19"/>
    <mergeCell ref="H19:I19"/>
    <mergeCell ref="J19:K19"/>
    <mergeCell ref="N19:O19"/>
    <mergeCell ref="P19:Q19"/>
    <mergeCell ref="T21:U21"/>
    <mergeCell ref="V21:W21"/>
    <mergeCell ref="X21:Y21"/>
    <mergeCell ref="Z21:AF21"/>
    <mergeCell ref="R20:S20"/>
    <mergeCell ref="T20:U20"/>
    <mergeCell ref="V20:W20"/>
    <mergeCell ref="X20:Y20"/>
    <mergeCell ref="Z20:AF20"/>
    <mergeCell ref="Z24:AF24"/>
    <mergeCell ref="P22:Q22"/>
    <mergeCell ref="R22:S22"/>
    <mergeCell ref="T22:U22"/>
    <mergeCell ref="V22:W22"/>
    <mergeCell ref="X22:Y22"/>
    <mergeCell ref="Z22:AF22"/>
    <mergeCell ref="B22:C26"/>
    <mergeCell ref="D22:E22"/>
    <mergeCell ref="F22:G22"/>
    <mergeCell ref="H22:I22"/>
    <mergeCell ref="J22:K22"/>
    <mergeCell ref="N22:O22"/>
    <mergeCell ref="D23:E23"/>
    <mergeCell ref="F23:G23"/>
    <mergeCell ref="H23:I23"/>
    <mergeCell ref="J23:K23"/>
    <mergeCell ref="Z23:AF23"/>
    <mergeCell ref="D25:E25"/>
    <mergeCell ref="F25:G25"/>
    <mergeCell ref="H25:I25"/>
    <mergeCell ref="J25:K25"/>
    <mergeCell ref="N25:O25"/>
    <mergeCell ref="P25:Q25"/>
    <mergeCell ref="AO25:AV26"/>
    <mergeCell ref="R26:S26"/>
    <mergeCell ref="T26:U26"/>
    <mergeCell ref="V26:W26"/>
    <mergeCell ref="X26:Y26"/>
    <mergeCell ref="Z26:AF26"/>
    <mergeCell ref="AN23:AN24"/>
    <mergeCell ref="AO23:AV23"/>
    <mergeCell ref="D24:E24"/>
    <mergeCell ref="F24:G24"/>
    <mergeCell ref="H24:I24"/>
    <mergeCell ref="J24:K24"/>
    <mergeCell ref="N24:O24"/>
    <mergeCell ref="P24:Q24"/>
    <mergeCell ref="R24:S24"/>
    <mergeCell ref="N23:O23"/>
    <mergeCell ref="P23:Q23"/>
    <mergeCell ref="R23:S23"/>
    <mergeCell ref="T23:U23"/>
    <mergeCell ref="V23:W23"/>
    <mergeCell ref="X23:Y23"/>
    <mergeCell ref="T24:U24"/>
    <mergeCell ref="V24:W24"/>
    <mergeCell ref="X24:Y24"/>
    <mergeCell ref="T28:U28"/>
    <mergeCell ref="P30:Q30"/>
    <mergeCell ref="R30:S30"/>
    <mergeCell ref="T25:U25"/>
    <mergeCell ref="V25:W25"/>
    <mergeCell ref="X25:Y25"/>
    <mergeCell ref="Z25:AF25"/>
    <mergeCell ref="R25:S25"/>
    <mergeCell ref="V28:W28"/>
    <mergeCell ref="X28:Y28"/>
    <mergeCell ref="Z28:AF28"/>
    <mergeCell ref="R28:S28"/>
    <mergeCell ref="T30:U30"/>
    <mergeCell ref="V30:W30"/>
    <mergeCell ref="X30:Y30"/>
    <mergeCell ref="Z30:AF30"/>
    <mergeCell ref="R29:S29"/>
    <mergeCell ref="T29:U29"/>
    <mergeCell ref="V29:W29"/>
    <mergeCell ref="X29:Y29"/>
    <mergeCell ref="Z29:AF29"/>
    <mergeCell ref="P29:Q29"/>
    <mergeCell ref="D26:E26"/>
    <mergeCell ref="F26:G26"/>
    <mergeCell ref="H26:I26"/>
    <mergeCell ref="J26:K26"/>
    <mergeCell ref="N26:O26"/>
    <mergeCell ref="P26:Q26"/>
    <mergeCell ref="V27:W27"/>
    <mergeCell ref="X27:Y27"/>
    <mergeCell ref="Z27:AF27"/>
    <mergeCell ref="D27:E27"/>
    <mergeCell ref="F27:G27"/>
    <mergeCell ref="H27:I27"/>
    <mergeCell ref="J27:K27"/>
    <mergeCell ref="N27:O27"/>
    <mergeCell ref="P27:Q27"/>
    <mergeCell ref="R27:S27"/>
    <mergeCell ref="T27:U27"/>
    <mergeCell ref="L27:M27"/>
    <mergeCell ref="L26:M26"/>
    <mergeCell ref="D28:E28"/>
    <mergeCell ref="F28:G28"/>
    <mergeCell ref="H28:I28"/>
    <mergeCell ref="J28:K28"/>
    <mergeCell ref="N28:O28"/>
    <mergeCell ref="P28:Q28"/>
    <mergeCell ref="L28:M28"/>
    <mergeCell ref="L29:M29"/>
    <mergeCell ref="B32:C36"/>
    <mergeCell ref="D32:E32"/>
    <mergeCell ref="F32:G32"/>
    <mergeCell ref="H32:I32"/>
    <mergeCell ref="J32:K32"/>
    <mergeCell ref="D31:E31"/>
    <mergeCell ref="F31:G31"/>
    <mergeCell ref="H31:I31"/>
    <mergeCell ref="J31:K31"/>
    <mergeCell ref="D33:E33"/>
    <mergeCell ref="F33:G33"/>
    <mergeCell ref="H33:I33"/>
    <mergeCell ref="J33:K33"/>
    <mergeCell ref="B27:C31"/>
    <mergeCell ref="D30:E30"/>
    <mergeCell ref="F30:G30"/>
    <mergeCell ref="H30:I30"/>
    <mergeCell ref="D29:E29"/>
    <mergeCell ref="F29:G29"/>
    <mergeCell ref="H29:I29"/>
    <mergeCell ref="J29:K29"/>
    <mergeCell ref="J30:K30"/>
    <mergeCell ref="T31:U31"/>
    <mergeCell ref="V31:W31"/>
    <mergeCell ref="X31:Y31"/>
    <mergeCell ref="N30:O30"/>
    <mergeCell ref="N29:O29"/>
    <mergeCell ref="V35:W35"/>
    <mergeCell ref="Z33:AF33"/>
    <mergeCell ref="D34:E34"/>
    <mergeCell ref="F34:G34"/>
    <mergeCell ref="H34:I34"/>
    <mergeCell ref="J34:K34"/>
    <mergeCell ref="N34:O34"/>
    <mergeCell ref="P34:Q34"/>
    <mergeCell ref="R34:S34"/>
    <mergeCell ref="T34:U34"/>
    <mergeCell ref="T33:U33"/>
    <mergeCell ref="V33:W33"/>
    <mergeCell ref="V34:W34"/>
    <mergeCell ref="X34:Y34"/>
    <mergeCell ref="Z34:AF34"/>
    <mergeCell ref="X35:Y35"/>
    <mergeCell ref="Z35:AF35"/>
    <mergeCell ref="B39:C41"/>
    <mergeCell ref="AC39:AD39"/>
    <mergeCell ref="AC40:AD40"/>
    <mergeCell ref="AC41:AD41"/>
    <mergeCell ref="AO35:AV37"/>
    <mergeCell ref="D36:E36"/>
    <mergeCell ref="F36:G36"/>
    <mergeCell ref="H36:I36"/>
    <mergeCell ref="J36:K36"/>
    <mergeCell ref="N36:O36"/>
    <mergeCell ref="P36:Q36"/>
    <mergeCell ref="R36:S36"/>
    <mergeCell ref="T36:U36"/>
    <mergeCell ref="V36:W36"/>
    <mergeCell ref="X36:Y36"/>
    <mergeCell ref="Z36:AF36"/>
    <mergeCell ref="D35:E35"/>
    <mergeCell ref="F35:G35"/>
    <mergeCell ref="H35:I35"/>
    <mergeCell ref="J35:K35"/>
    <mergeCell ref="N35:O35"/>
    <mergeCell ref="P35:Q35"/>
    <mergeCell ref="R35:S35"/>
    <mergeCell ref="T35:U35"/>
  </mergeCells>
  <phoneticPr fontId="4"/>
  <conditionalFormatting sqref="B7:O36">
    <cfRule type="expression" dxfId="24" priority="159" stopIfTrue="1">
      <formula>$AH$3&lt;&gt;2</formula>
    </cfRule>
  </conditionalFormatting>
  <conditionalFormatting sqref="P7:Y36">
    <cfRule type="expression" dxfId="23" priority="4">
      <formula>$AH$3&lt;&gt;2</formula>
    </cfRule>
  </conditionalFormatting>
  <conditionalFormatting sqref="Z7:AF36">
    <cfRule type="expression" dxfId="22" priority="154" stopIfTrue="1">
      <formula>$AH$3&lt;&gt;2</formula>
    </cfRule>
  </conditionalFormatting>
  <conditionalFormatting sqref="AC39:AD41">
    <cfRule type="expression" dxfId="21" priority="1">
      <formula>$AH$3&lt;&gt;2</formula>
    </cfRule>
  </conditionalFormatting>
  <conditionalFormatting sqref="AE7:AF36">
    <cfRule type="expression" dxfId="20" priority="2061" stopIfTrue="1">
      <formula>$AE$2&lt;&gt;2</formula>
    </cfRule>
  </conditionalFormatting>
  <dataValidations count="9">
    <dataValidation type="list" allowBlank="1" showInputMessage="1" showErrorMessage="1" sqref="J7:K36" xr:uid="{00000000-0002-0000-0900-000000000000}">
      <formula1>"1.0,0.7,0.15,0.05,0"</formula1>
    </dataValidation>
    <dataValidation type="list" allowBlank="1" showInputMessage="1" showErrorMessage="1" sqref="L7:M36" xr:uid="{00000000-0002-0000-0900-000001000000}">
      <formula1>"1,2,3,4"</formula1>
    </dataValidation>
    <dataValidation type="list" allowBlank="1" showInputMessage="1" showErrorMessage="1" sqref="B7:C36" xr:uid="{00000000-0002-0000-0900-000002000000}">
      <formula1>方位</formula1>
    </dataValidation>
    <dataValidation type="list" allowBlank="1" showInputMessage="1" showErrorMessage="1" sqref="D7:E11" xr:uid="{00000000-0002-0000-0900-000003000000}">
      <formula1>INDIRECT(B$7)</formula1>
    </dataValidation>
    <dataValidation type="list" allowBlank="1" showInputMessage="1" showErrorMessage="1" sqref="D12:E16" xr:uid="{00000000-0002-0000-0900-000004000000}">
      <formula1>INDIRECT(B$12)</formula1>
    </dataValidation>
    <dataValidation type="list" allowBlank="1" showInputMessage="1" showErrorMessage="1" sqref="D17:E21" xr:uid="{00000000-0002-0000-0900-000005000000}">
      <formula1>INDIRECT(B$17)</formula1>
    </dataValidation>
    <dataValidation type="list" allowBlank="1" showInputMessage="1" showErrorMessage="1" sqref="D22:E26" xr:uid="{00000000-0002-0000-0900-000006000000}">
      <formula1>INDIRECT(B$22)</formula1>
    </dataValidation>
    <dataValidation type="list" allowBlank="1" showInputMessage="1" showErrorMessage="1" sqref="D27:E31" xr:uid="{00000000-0002-0000-0900-000007000000}">
      <formula1>INDIRECT(B$27)</formula1>
    </dataValidation>
    <dataValidation type="list" allowBlank="1" showInputMessage="1" showErrorMessage="1" sqref="D32:E36" xr:uid="{00000000-0002-0000-0900-000008000000}">
      <formula1>INDIRECT(B$32)</formula1>
    </dataValidation>
  </dataValidations>
  <pageMargins left="0.70866141732283472" right="0.70866141732283472" top="0.74803149606299213" bottom="0.74803149606299213" header="0.31496062992125984" footer="0.31496062992125984"/>
  <pageSetup paperSize="9" scale="75"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61" r:id="rId4" name="Check Box 1">
              <controlPr defaultSize="0" autoFill="0" autoLine="0" autoPict="0">
                <anchor moveWithCells="1">
                  <from>
                    <xdr:col>13</xdr:col>
                    <xdr:colOff>190500</xdr:colOff>
                    <xdr:row>6</xdr:row>
                    <xdr:rowOff>47625</xdr:rowOff>
                  </from>
                  <to>
                    <xdr:col>14</xdr:col>
                    <xdr:colOff>219075</xdr:colOff>
                    <xdr:row>6</xdr:row>
                    <xdr:rowOff>257175</xdr:rowOff>
                  </to>
                </anchor>
              </controlPr>
            </control>
          </mc:Choice>
        </mc:AlternateContent>
        <mc:AlternateContent xmlns:mc="http://schemas.openxmlformats.org/markup-compatibility/2006">
          <mc:Choice Requires="x14">
            <control shapeId="143362" r:id="rId5" name="Check Box 2">
              <controlPr defaultSize="0" autoFill="0" autoLine="0" autoPict="0">
                <anchor moveWithCells="1">
                  <from>
                    <xdr:col>13</xdr:col>
                    <xdr:colOff>190500</xdr:colOff>
                    <xdr:row>7</xdr:row>
                    <xdr:rowOff>47625</xdr:rowOff>
                  </from>
                  <to>
                    <xdr:col>14</xdr:col>
                    <xdr:colOff>219075</xdr:colOff>
                    <xdr:row>7</xdr:row>
                    <xdr:rowOff>257175</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13</xdr:col>
                    <xdr:colOff>190500</xdr:colOff>
                    <xdr:row>8</xdr:row>
                    <xdr:rowOff>47625</xdr:rowOff>
                  </from>
                  <to>
                    <xdr:col>14</xdr:col>
                    <xdr:colOff>219075</xdr:colOff>
                    <xdr:row>8</xdr:row>
                    <xdr:rowOff>257175</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13</xdr:col>
                    <xdr:colOff>190500</xdr:colOff>
                    <xdr:row>9</xdr:row>
                    <xdr:rowOff>47625</xdr:rowOff>
                  </from>
                  <to>
                    <xdr:col>14</xdr:col>
                    <xdr:colOff>219075</xdr:colOff>
                    <xdr:row>9</xdr:row>
                    <xdr:rowOff>257175</xdr:rowOff>
                  </to>
                </anchor>
              </controlPr>
            </control>
          </mc:Choice>
        </mc:AlternateContent>
        <mc:AlternateContent xmlns:mc="http://schemas.openxmlformats.org/markup-compatibility/2006">
          <mc:Choice Requires="x14">
            <control shapeId="143365" r:id="rId8" name="Check Box 5">
              <controlPr defaultSize="0" autoFill="0" autoLine="0" autoPict="0">
                <anchor moveWithCells="1">
                  <from>
                    <xdr:col>13</xdr:col>
                    <xdr:colOff>190500</xdr:colOff>
                    <xdr:row>10</xdr:row>
                    <xdr:rowOff>47625</xdr:rowOff>
                  </from>
                  <to>
                    <xdr:col>14</xdr:col>
                    <xdr:colOff>219075</xdr:colOff>
                    <xdr:row>10</xdr:row>
                    <xdr:rowOff>257175</xdr:rowOff>
                  </to>
                </anchor>
              </controlPr>
            </control>
          </mc:Choice>
        </mc:AlternateContent>
        <mc:AlternateContent xmlns:mc="http://schemas.openxmlformats.org/markup-compatibility/2006">
          <mc:Choice Requires="x14">
            <control shapeId="143366" r:id="rId9" name="Check Box 6">
              <controlPr defaultSize="0" autoFill="0" autoLine="0" autoPict="0">
                <anchor moveWithCells="1">
                  <from>
                    <xdr:col>13</xdr:col>
                    <xdr:colOff>190500</xdr:colOff>
                    <xdr:row>11</xdr:row>
                    <xdr:rowOff>47625</xdr:rowOff>
                  </from>
                  <to>
                    <xdr:col>14</xdr:col>
                    <xdr:colOff>219075</xdr:colOff>
                    <xdr:row>11</xdr:row>
                    <xdr:rowOff>257175</xdr:rowOff>
                  </to>
                </anchor>
              </controlPr>
            </control>
          </mc:Choice>
        </mc:AlternateContent>
        <mc:AlternateContent xmlns:mc="http://schemas.openxmlformats.org/markup-compatibility/2006">
          <mc:Choice Requires="x14">
            <control shapeId="143367" r:id="rId10" name="Check Box 7">
              <controlPr defaultSize="0" autoFill="0" autoLine="0" autoPict="0">
                <anchor moveWithCells="1">
                  <from>
                    <xdr:col>13</xdr:col>
                    <xdr:colOff>190500</xdr:colOff>
                    <xdr:row>12</xdr:row>
                    <xdr:rowOff>47625</xdr:rowOff>
                  </from>
                  <to>
                    <xdr:col>14</xdr:col>
                    <xdr:colOff>219075</xdr:colOff>
                    <xdr:row>12</xdr:row>
                    <xdr:rowOff>257175</xdr:rowOff>
                  </to>
                </anchor>
              </controlPr>
            </control>
          </mc:Choice>
        </mc:AlternateContent>
        <mc:AlternateContent xmlns:mc="http://schemas.openxmlformats.org/markup-compatibility/2006">
          <mc:Choice Requires="x14">
            <control shapeId="143368" r:id="rId11" name="Check Box 8">
              <controlPr defaultSize="0" autoFill="0" autoLine="0" autoPict="0">
                <anchor moveWithCells="1">
                  <from>
                    <xdr:col>13</xdr:col>
                    <xdr:colOff>190500</xdr:colOff>
                    <xdr:row>13</xdr:row>
                    <xdr:rowOff>47625</xdr:rowOff>
                  </from>
                  <to>
                    <xdr:col>14</xdr:col>
                    <xdr:colOff>219075</xdr:colOff>
                    <xdr:row>13</xdr:row>
                    <xdr:rowOff>257175</xdr:rowOff>
                  </to>
                </anchor>
              </controlPr>
            </control>
          </mc:Choice>
        </mc:AlternateContent>
        <mc:AlternateContent xmlns:mc="http://schemas.openxmlformats.org/markup-compatibility/2006">
          <mc:Choice Requires="x14">
            <control shapeId="143369" r:id="rId12" name="Check Box 9">
              <controlPr defaultSize="0" autoFill="0" autoLine="0" autoPict="0">
                <anchor moveWithCells="1">
                  <from>
                    <xdr:col>13</xdr:col>
                    <xdr:colOff>190500</xdr:colOff>
                    <xdr:row>14</xdr:row>
                    <xdr:rowOff>47625</xdr:rowOff>
                  </from>
                  <to>
                    <xdr:col>14</xdr:col>
                    <xdr:colOff>219075</xdr:colOff>
                    <xdr:row>14</xdr:row>
                    <xdr:rowOff>257175</xdr:rowOff>
                  </to>
                </anchor>
              </controlPr>
            </control>
          </mc:Choice>
        </mc:AlternateContent>
        <mc:AlternateContent xmlns:mc="http://schemas.openxmlformats.org/markup-compatibility/2006">
          <mc:Choice Requires="x14">
            <control shapeId="143370" r:id="rId13" name="Check Box 10">
              <controlPr defaultSize="0" autoFill="0" autoLine="0" autoPict="0">
                <anchor moveWithCells="1">
                  <from>
                    <xdr:col>13</xdr:col>
                    <xdr:colOff>190500</xdr:colOff>
                    <xdr:row>15</xdr:row>
                    <xdr:rowOff>47625</xdr:rowOff>
                  </from>
                  <to>
                    <xdr:col>14</xdr:col>
                    <xdr:colOff>219075</xdr:colOff>
                    <xdr:row>15</xdr:row>
                    <xdr:rowOff>257175</xdr:rowOff>
                  </to>
                </anchor>
              </controlPr>
            </control>
          </mc:Choice>
        </mc:AlternateContent>
        <mc:AlternateContent xmlns:mc="http://schemas.openxmlformats.org/markup-compatibility/2006">
          <mc:Choice Requires="x14">
            <control shapeId="143371" r:id="rId14" name="Check Box 11">
              <controlPr defaultSize="0" autoFill="0" autoLine="0" autoPict="0">
                <anchor moveWithCells="1">
                  <from>
                    <xdr:col>13</xdr:col>
                    <xdr:colOff>190500</xdr:colOff>
                    <xdr:row>16</xdr:row>
                    <xdr:rowOff>47625</xdr:rowOff>
                  </from>
                  <to>
                    <xdr:col>14</xdr:col>
                    <xdr:colOff>219075</xdr:colOff>
                    <xdr:row>16</xdr:row>
                    <xdr:rowOff>257175</xdr:rowOff>
                  </to>
                </anchor>
              </controlPr>
            </control>
          </mc:Choice>
        </mc:AlternateContent>
        <mc:AlternateContent xmlns:mc="http://schemas.openxmlformats.org/markup-compatibility/2006">
          <mc:Choice Requires="x14">
            <control shapeId="143372" r:id="rId15" name="Check Box 12">
              <controlPr defaultSize="0" autoFill="0" autoLine="0" autoPict="0">
                <anchor moveWithCells="1">
                  <from>
                    <xdr:col>13</xdr:col>
                    <xdr:colOff>190500</xdr:colOff>
                    <xdr:row>17</xdr:row>
                    <xdr:rowOff>47625</xdr:rowOff>
                  </from>
                  <to>
                    <xdr:col>14</xdr:col>
                    <xdr:colOff>219075</xdr:colOff>
                    <xdr:row>17</xdr:row>
                    <xdr:rowOff>257175</xdr:rowOff>
                  </to>
                </anchor>
              </controlPr>
            </control>
          </mc:Choice>
        </mc:AlternateContent>
        <mc:AlternateContent xmlns:mc="http://schemas.openxmlformats.org/markup-compatibility/2006">
          <mc:Choice Requires="x14">
            <control shapeId="143373" r:id="rId16" name="Check Box 13">
              <controlPr defaultSize="0" autoFill="0" autoLine="0" autoPict="0">
                <anchor moveWithCells="1">
                  <from>
                    <xdr:col>13</xdr:col>
                    <xdr:colOff>190500</xdr:colOff>
                    <xdr:row>18</xdr:row>
                    <xdr:rowOff>47625</xdr:rowOff>
                  </from>
                  <to>
                    <xdr:col>14</xdr:col>
                    <xdr:colOff>219075</xdr:colOff>
                    <xdr:row>18</xdr:row>
                    <xdr:rowOff>257175</xdr:rowOff>
                  </to>
                </anchor>
              </controlPr>
            </control>
          </mc:Choice>
        </mc:AlternateContent>
        <mc:AlternateContent xmlns:mc="http://schemas.openxmlformats.org/markup-compatibility/2006">
          <mc:Choice Requires="x14">
            <control shapeId="143374" r:id="rId17" name="Check Box 14">
              <controlPr defaultSize="0" autoFill="0" autoLine="0" autoPict="0">
                <anchor moveWithCells="1">
                  <from>
                    <xdr:col>13</xdr:col>
                    <xdr:colOff>190500</xdr:colOff>
                    <xdr:row>19</xdr:row>
                    <xdr:rowOff>47625</xdr:rowOff>
                  </from>
                  <to>
                    <xdr:col>14</xdr:col>
                    <xdr:colOff>219075</xdr:colOff>
                    <xdr:row>19</xdr:row>
                    <xdr:rowOff>257175</xdr:rowOff>
                  </to>
                </anchor>
              </controlPr>
            </control>
          </mc:Choice>
        </mc:AlternateContent>
        <mc:AlternateContent xmlns:mc="http://schemas.openxmlformats.org/markup-compatibility/2006">
          <mc:Choice Requires="x14">
            <control shapeId="143375" r:id="rId18" name="Check Box 15">
              <controlPr defaultSize="0" autoFill="0" autoLine="0" autoPict="0">
                <anchor moveWithCells="1">
                  <from>
                    <xdr:col>13</xdr:col>
                    <xdr:colOff>190500</xdr:colOff>
                    <xdr:row>20</xdr:row>
                    <xdr:rowOff>47625</xdr:rowOff>
                  </from>
                  <to>
                    <xdr:col>14</xdr:col>
                    <xdr:colOff>219075</xdr:colOff>
                    <xdr:row>20</xdr:row>
                    <xdr:rowOff>257175</xdr:rowOff>
                  </to>
                </anchor>
              </controlPr>
            </control>
          </mc:Choice>
        </mc:AlternateContent>
        <mc:AlternateContent xmlns:mc="http://schemas.openxmlformats.org/markup-compatibility/2006">
          <mc:Choice Requires="x14">
            <control shapeId="143376" r:id="rId19" name="Check Box 16">
              <controlPr defaultSize="0" autoFill="0" autoLine="0" autoPict="0">
                <anchor moveWithCells="1">
                  <from>
                    <xdr:col>13</xdr:col>
                    <xdr:colOff>190500</xdr:colOff>
                    <xdr:row>21</xdr:row>
                    <xdr:rowOff>47625</xdr:rowOff>
                  </from>
                  <to>
                    <xdr:col>14</xdr:col>
                    <xdr:colOff>219075</xdr:colOff>
                    <xdr:row>21</xdr:row>
                    <xdr:rowOff>257175</xdr:rowOff>
                  </to>
                </anchor>
              </controlPr>
            </control>
          </mc:Choice>
        </mc:AlternateContent>
        <mc:AlternateContent xmlns:mc="http://schemas.openxmlformats.org/markup-compatibility/2006">
          <mc:Choice Requires="x14">
            <control shapeId="143377" r:id="rId20" name="Check Box 17">
              <controlPr defaultSize="0" autoFill="0" autoLine="0" autoPict="0">
                <anchor moveWithCells="1">
                  <from>
                    <xdr:col>13</xdr:col>
                    <xdr:colOff>190500</xdr:colOff>
                    <xdr:row>22</xdr:row>
                    <xdr:rowOff>47625</xdr:rowOff>
                  </from>
                  <to>
                    <xdr:col>14</xdr:col>
                    <xdr:colOff>219075</xdr:colOff>
                    <xdr:row>22</xdr:row>
                    <xdr:rowOff>257175</xdr:rowOff>
                  </to>
                </anchor>
              </controlPr>
            </control>
          </mc:Choice>
        </mc:AlternateContent>
        <mc:AlternateContent xmlns:mc="http://schemas.openxmlformats.org/markup-compatibility/2006">
          <mc:Choice Requires="x14">
            <control shapeId="143378" r:id="rId21" name="Check Box 18">
              <controlPr defaultSize="0" autoFill="0" autoLine="0" autoPict="0">
                <anchor moveWithCells="1">
                  <from>
                    <xdr:col>13</xdr:col>
                    <xdr:colOff>190500</xdr:colOff>
                    <xdr:row>23</xdr:row>
                    <xdr:rowOff>47625</xdr:rowOff>
                  </from>
                  <to>
                    <xdr:col>14</xdr:col>
                    <xdr:colOff>219075</xdr:colOff>
                    <xdr:row>23</xdr:row>
                    <xdr:rowOff>257175</xdr:rowOff>
                  </to>
                </anchor>
              </controlPr>
            </control>
          </mc:Choice>
        </mc:AlternateContent>
        <mc:AlternateContent xmlns:mc="http://schemas.openxmlformats.org/markup-compatibility/2006">
          <mc:Choice Requires="x14">
            <control shapeId="143379" r:id="rId22" name="Check Box 19">
              <controlPr defaultSize="0" autoFill="0" autoLine="0" autoPict="0">
                <anchor moveWithCells="1">
                  <from>
                    <xdr:col>13</xdr:col>
                    <xdr:colOff>190500</xdr:colOff>
                    <xdr:row>24</xdr:row>
                    <xdr:rowOff>47625</xdr:rowOff>
                  </from>
                  <to>
                    <xdr:col>14</xdr:col>
                    <xdr:colOff>219075</xdr:colOff>
                    <xdr:row>24</xdr:row>
                    <xdr:rowOff>257175</xdr:rowOff>
                  </to>
                </anchor>
              </controlPr>
            </control>
          </mc:Choice>
        </mc:AlternateContent>
        <mc:AlternateContent xmlns:mc="http://schemas.openxmlformats.org/markup-compatibility/2006">
          <mc:Choice Requires="x14">
            <control shapeId="143380" r:id="rId23" name="Check Box 20">
              <controlPr defaultSize="0" autoFill="0" autoLine="0" autoPict="0">
                <anchor moveWithCells="1">
                  <from>
                    <xdr:col>13</xdr:col>
                    <xdr:colOff>190500</xdr:colOff>
                    <xdr:row>25</xdr:row>
                    <xdr:rowOff>47625</xdr:rowOff>
                  </from>
                  <to>
                    <xdr:col>14</xdr:col>
                    <xdr:colOff>219075</xdr:colOff>
                    <xdr:row>25</xdr:row>
                    <xdr:rowOff>257175</xdr:rowOff>
                  </to>
                </anchor>
              </controlPr>
            </control>
          </mc:Choice>
        </mc:AlternateContent>
        <mc:AlternateContent xmlns:mc="http://schemas.openxmlformats.org/markup-compatibility/2006">
          <mc:Choice Requires="x14">
            <control shapeId="143381" r:id="rId24" name="Check Box 21">
              <controlPr defaultSize="0" autoFill="0" autoLine="0" autoPict="0">
                <anchor moveWithCells="1">
                  <from>
                    <xdr:col>13</xdr:col>
                    <xdr:colOff>190500</xdr:colOff>
                    <xdr:row>26</xdr:row>
                    <xdr:rowOff>47625</xdr:rowOff>
                  </from>
                  <to>
                    <xdr:col>14</xdr:col>
                    <xdr:colOff>219075</xdr:colOff>
                    <xdr:row>26</xdr:row>
                    <xdr:rowOff>257175</xdr:rowOff>
                  </to>
                </anchor>
              </controlPr>
            </control>
          </mc:Choice>
        </mc:AlternateContent>
        <mc:AlternateContent xmlns:mc="http://schemas.openxmlformats.org/markup-compatibility/2006">
          <mc:Choice Requires="x14">
            <control shapeId="143382" r:id="rId25" name="Check Box 22">
              <controlPr defaultSize="0" autoFill="0" autoLine="0" autoPict="0">
                <anchor moveWithCells="1">
                  <from>
                    <xdr:col>13</xdr:col>
                    <xdr:colOff>190500</xdr:colOff>
                    <xdr:row>27</xdr:row>
                    <xdr:rowOff>47625</xdr:rowOff>
                  </from>
                  <to>
                    <xdr:col>14</xdr:col>
                    <xdr:colOff>219075</xdr:colOff>
                    <xdr:row>27</xdr:row>
                    <xdr:rowOff>257175</xdr:rowOff>
                  </to>
                </anchor>
              </controlPr>
            </control>
          </mc:Choice>
        </mc:AlternateContent>
        <mc:AlternateContent xmlns:mc="http://schemas.openxmlformats.org/markup-compatibility/2006">
          <mc:Choice Requires="x14">
            <control shapeId="143383" r:id="rId26" name="Check Box 23">
              <controlPr defaultSize="0" autoFill="0" autoLine="0" autoPict="0">
                <anchor moveWithCells="1">
                  <from>
                    <xdr:col>13</xdr:col>
                    <xdr:colOff>190500</xdr:colOff>
                    <xdr:row>28</xdr:row>
                    <xdr:rowOff>47625</xdr:rowOff>
                  </from>
                  <to>
                    <xdr:col>14</xdr:col>
                    <xdr:colOff>219075</xdr:colOff>
                    <xdr:row>28</xdr:row>
                    <xdr:rowOff>257175</xdr:rowOff>
                  </to>
                </anchor>
              </controlPr>
            </control>
          </mc:Choice>
        </mc:AlternateContent>
        <mc:AlternateContent xmlns:mc="http://schemas.openxmlformats.org/markup-compatibility/2006">
          <mc:Choice Requires="x14">
            <control shapeId="143384" r:id="rId27" name="Check Box 24">
              <controlPr defaultSize="0" autoFill="0" autoLine="0" autoPict="0">
                <anchor moveWithCells="1">
                  <from>
                    <xdr:col>13</xdr:col>
                    <xdr:colOff>190500</xdr:colOff>
                    <xdr:row>29</xdr:row>
                    <xdr:rowOff>47625</xdr:rowOff>
                  </from>
                  <to>
                    <xdr:col>14</xdr:col>
                    <xdr:colOff>219075</xdr:colOff>
                    <xdr:row>29</xdr:row>
                    <xdr:rowOff>257175</xdr:rowOff>
                  </to>
                </anchor>
              </controlPr>
            </control>
          </mc:Choice>
        </mc:AlternateContent>
        <mc:AlternateContent xmlns:mc="http://schemas.openxmlformats.org/markup-compatibility/2006">
          <mc:Choice Requires="x14">
            <control shapeId="143385" r:id="rId28" name="Check Box 25">
              <controlPr defaultSize="0" autoFill="0" autoLine="0" autoPict="0">
                <anchor moveWithCells="1">
                  <from>
                    <xdr:col>13</xdr:col>
                    <xdr:colOff>190500</xdr:colOff>
                    <xdr:row>30</xdr:row>
                    <xdr:rowOff>47625</xdr:rowOff>
                  </from>
                  <to>
                    <xdr:col>14</xdr:col>
                    <xdr:colOff>219075</xdr:colOff>
                    <xdr:row>30</xdr:row>
                    <xdr:rowOff>257175</xdr:rowOff>
                  </to>
                </anchor>
              </controlPr>
            </control>
          </mc:Choice>
        </mc:AlternateContent>
        <mc:AlternateContent xmlns:mc="http://schemas.openxmlformats.org/markup-compatibility/2006">
          <mc:Choice Requires="x14">
            <control shapeId="143386" r:id="rId29" name="Check Box 26">
              <controlPr defaultSize="0" autoFill="0" autoLine="0" autoPict="0">
                <anchor moveWithCells="1">
                  <from>
                    <xdr:col>13</xdr:col>
                    <xdr:colOff>190500</xdr:colOff>
                    <xdr:row>31</xdr:row>
                    <xdr:rowOff>47625</xdr:rowOff>
                  </from>
                  <to>
                    <xdr:col>14</xdr:col>
                    <xdr:colOff>219075</xdr:colOff>
                    <xdr:row>31</xdr:row>
                    <xdr:rowOff>257175</xdr:rowOff>
                  </to>
                </anchor>
              </controlPr>
            </control>
          </mc:Choice>
        </mc:AlternateContent>
        <mc:AlternateContent xmlns:mc="http://schemas.openxmlformats.org/markup-compatibility/2006">
          <mc:Choice Requires="x14">
            <control shapeId="143387" r:id="rId30" name="Check Box 27">
              <controlPr defaultSize="0" autoFill="0" autoLine="0" autoPict="0">
                <anchor moveWithCells="1">
                  <from>
                    <xdr:col>13</xdr:col>
                    <xdr:colOff>190500</xdr:colOff>
                    <xdr:row>32</xdr:row>
                    <xdr:rowOff>47625</xdr:rowOff>
                  </from>
                  <to>
                    <xdr:col>14</xdr:col>
                    <xdr:colOff>219075</xdr:colOff>
                    <xdr:row>32</xdr:row>
                    <xdr:rowOff>257175</xdr:rowOff>
                  </to>
                </anchor>
              </controlPr>
            </control>
          </mc:Choice>
        </mc:AlternateContent>
        <mc:AlternateContent xmlns:mc="http://schemas.openxmlformats.org/markup-compatibility/2006">
          <mc:Choice Requires="x14">
            <control shapeId="143388" r:id="rId31" name="Check Box 28">
              <controlPr defaultSize="0" autoFill="0" autoLine="0" autoPict="0">
                <anchor moveWithCells="1">
                  <from>
                    <xdr:col>13</xdr:col>
                    <xdr:colOff>190500</xdr:colOff>
                    <xdr:row>33</xdr:row>
                    <xdr:rowOff>47625</xdr:rowOff>
                  </from>
                  <to>
                    <xdr:col>14</xdr:col>
                    <xdr:colOff>219075</xdr:colOff>
                    <xdr:row>33</xdr:row>
                    <xdr:rowOff>257175</xdr:rowOff>
                  </to>
                </anchor>
              </controlPr>
            </control>
          </mc:Choice>
        </mc:AlternateContent>
        <mc:AlternateContent xmlns:mc="http://schemas.openxmlformats.org/markup-compatibility/2006">
          <mc:Choice Requires="x14">
            <control shapeId="143389" r:id="rId32" name="Check Box 29">
              <controlPr defaultSize="0" autoFill="0" autoLine="0" autoPict="0">
                <anchor moveWithCells="1">
                  <from>
                    <xdr:col>13</xdr:col>
                    <xdr:colOff>190500</xdr:colOff>
                    <xdr:row>34</xdr:row>
                    <xdr:rowOff>47625</xdr:rowOff>
                  </from>
                  <to>
                    <xdr:col>14</xdr:col>
                    <xdr:colOff>219075</xdr:colOff>
                    <xdr:row>34</xdr:row>
                    <xdr:rowOff>257175</xdr:rowOff>
                  </to>
                </anchor>
              </controlPr>
            </control>
          </mc:Choice>
        </mc:AlternateContent>
        <mc:AlternateContent xmlns:mc="http://schemas.openxmlformats.org/markup-compatibility/2006">
          <mc:Choice Requires="x14">
            <control shapeId="143390" r:id="rId33" name="Check Box 30">
              <controlPr defaultSize="0" autoFill="0" autoLine="0" autoPict="0">
                <anchor moveWithCells="1">
                  <from>
                    <xdr:col>13</xdr:col>
                    <xdr:colOff>190500</xdr:colOff>
                    <xdr:row>35</xdr:row>
                    <xdr:rowOff>47625</xdr:rowOff>
                  </from>
                  <to>
                    <xdr:col>14</xdr:col>
                    <xdr:colOff>219075</xdr:colOff>
                    <xdr:row>35</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AV140"/>
  <sheetViews>
    <sheetView workbookViewId="0">
      <selection activeCell="B9" sqref="B9:C9"/>
    </sheetView>
  </sheetViews>
  <sheetFormatPr defaultRowHeight="13.5" x14ac:dyDescent="0.15"/>
  <cols>
    <col min="1" max="1" width="0.875" customWidth="1"/>
    <col min="2" max="23" width="3.625" customWidth="1"/>
    <col min="24" max="24" width="3.875" customWidth="1"/>
    <col min="25" max="25" width="3.875" hidden="1" customWidth="1"/>
    <col min="26" max="26" width="11.75" hidden="1" customWidth="1"/>
    <col min="27" max="27" width="6" hidden="1" customWidth="1"/>
    <col min="28" max="28" width="3.875" hidden="1" customWidth="1"/>
    <col min="29" max="30" width="6.875" hidden="1" customWidth="1"/>
    <col min="31" max="31" width="3.875" hidden="1" customWidth="1"/>
    <col min="32" max="32" width="3.625" customWidth="1"/>
    <col min="33" max="48" width="3.625" hidden="1" customWidth="1"/>
    <col min="49" max="54" width="9" customWidth="1"/>
  </cols>
  <sheetData>
    <row r="1" spans="2:34" ht="5.0999999999999996" customHeight="1" x14ac:dyDescent="0.15"/>
    <row r="2" spans="2:34" ht="30" customHeight="1" x14ac:dyDescent="0.15">
      <c r="B2" s="421" t="s">
        <v>91</v>
      </c>
      <c r="C2" s="421"/>
      <c r="D2" s="421"/>
      <c r="E2" s="421"/>
      <c r="F2" s="421"/>
      <c r="G2" s="421"/>
      <c r="H2" s="421"/>
      <c r="I2" s="421"/>
      <c r="J2" s="421"/>
      <c r="K2" s="421"/>
      <c r="L2" s="421"/>
      <c r="M2" s="421"/>
      <c r="N2" s="421"/>
      <c r="O2" s="421"/>
      <c r="P2" s="421"/>
      <c r="Q2" s="421"/>
      <c r="R2" s="421"/>
      <c r="S2" s="421"/>
      <c r="T2" s="421"/>
      <c r="U2" s="421"/>
      <c r="V2" s="421"/>
      <c r="W2" s="421"/>
      <c r="X2" s="421"/>
      <c r="Y2" s="41"/>
      <c r="AH2" s="24" t="s">
        <v>376</v>
      </c>
    </row>
    <row r="3" spans="2:34" ht="20.100000000000001" customHeight="1" x14ac:dyDescent="0.15">
      <c r="B3" s="9"/>
      <c r="C3" s="9"/>
      <c r="D3" s="9"/>
      <c r="E3" s="9"/>
      <c r="F3" s="9"/>
      <c r="G3" s="9"/>
      <c r="H3" s="9"/>
      <c r="I3" s="9"/>
      <c r="J3" s="9"/>
      <c r="K3" s="9"/>
      <c r="L3" s="9"/>
      <c r="M3" s="9"/>
      <c r="N3" s="9"/>
      <c r="O3" s="9"/>
      <c r="P3" s="9"/>
      <c r="Q3" s="9"/>
      <c r="R3" s="9"/>
      <c r="S3" s="9"/>
      <c r="T3" s="9"/>
      <c r="U3" s="9"/>
      <c r="V3" s="9"/>
      <c r="W3" s="9"/>
      <c r="X3" s="9"/>
      <c r="Y3" s="9"/>
      <c r="AH3" s="24">
        <f>共通条件・結果!AH3</f>
        <v>1</v>
      </c>
    </row>
    <row r="4" spans="2:34" ht="20.100000000000001" customHeight="1" thickBot="1" x14ac:dyDescent="0.2">
      <c r="B4" s="4" t="s">
        <v>29</v>
      </c>
      <c r="C4" s="2"/>
      <c r="D4" s="2"/>
      <c r="E4" s="2"/>
      <c r="F4" s="2"/>
      <c r="G4" s="2"/>
      <c r="H4" s="2"/>
      <c r="I4" s="2"/>
      <c r="J4" s="2"/>
      <c r="K4" s="2"/>
      <c r="L4" s="2"/>
      <c r="M4" s="2"/>
      <c r="N4" s="2"/>
      <c r="O4" s="2"/>
      <c r="P4" s="2"/>
      <c r="Q4" s="2"/>
      <c r="R4" s="2"/>
      <c r="S4" s="2"/>
      <c r="T4" s="16"/>
      <c r="U4" s="16"/>
      <c r="V4" s="16"/>
      <c r="W4" s="16"/>
      <c r="X4" s="2"/>
      <c r="Y4" s="2"/>
    </row>
    <row r="5" spans="2:34" ht="20.100000000000001" customHeight="1" x14ac:dyDescent="0.15">
      <c r="B5" s="620" t="s">
        <v>3</v>
      </c>
      <c r="C5" s="227"/>
      <c r="D5" s="262" t="s">
        <v>283</v>
      </c>
      <c r="E5" s="165"/>
      <c r="F5" s="165"/>
      <c r="G5" s="165"/>
      <c r="H5" s="165"/>
      <c r="I5" s="263"/>
      <c r="J5" s="267" t="s">
        <v>284</v>
      </c>
      <c r="K5" s="227"/>
      <c r="L5" s="267" t="s">
        <v>175</v>
      </c>
      <c r="M5" s="227"/>
      <c r="N5" s="595" t="s">
        <v>6</v>
      </c>
      <c r="O5" s="596"/>
      <c r="P5" s="267" t="s">
        <v>285</v>
      </c>
      <c r="Q5" s="227"/>
      <c r="R5" s="267" t="s">
        <v>286</v>
      </c>
      <c r="S5" s="227"/>
      <c r="T5" s="267" t="s">
        <v>266</v>
      </c>
      <c r="U5" s="228"/>
      <c r="V5" s="16"/>
      <c r="W5" s="16"/>
      <c r="Z5" s="2" t="s">
        <v>57</v>
      </c>
      <c r="AA5" s="2"/>
      <c r="AC5" s="2" t="s">
        <v>9</v>
      </c>
      <c r="AD5" s="2"/>
    </row>
    <row r="6" spans="2:34" ht="20.100000000000001" customHeight="1" x14ac:dyDescent="0.15">
      <c r="B6" s="621"/>
      <c r="C6" s="269"/>
      <c r="D6" s="264"/>
      <c r="E6" s="265"/>
      <c r="F6" s="265"/>
      <c r="G6" s="265"/>
      <c r="H6" s="265"/>
      <c r="I6" s="266"/>
      <c r="J6" s="268"/>
      <c r="K6" s="269"/>
      <c r="L6" s="268"/>
      <c r="M6" s="269"/>
      <c r="N6" s="597"/>
      <c r="O6" s="598"/>
      <c r="P6" s="268"/>
      <c r="Q6" s="269"/>
      <c r="R6" s="268"/>
      <c r="S6" s="269"/>
      <c r="T6" s="269"/>
      <c r="U6" s="414"/>
      <c r="V6" s="16"/>
      <c r="W6" s="16"/>
      <c r="Z6" s="2"/>
      <c r="AA6" s="2"/>
      <c r="AC6" s="2"/>
      <c r="AD6" s="2"/>
    </row>
    <row r="7" spans="2:34" ht="20.100000000000001" customHeight="1" thickBot="1" x14ac:dyDescent="0.2">
      <c r="B7" s="622"/>
      <c r="C7" s="270"/>
      <c r="D7" s="623" t="s">
        <v>5</v>
      </c>
      <c r="E7" s="624"/>
      <c r="F7" s="625"/>
      <c r="G7" s="614" t="s">
        <v>4</v>
      </c>
      <c r="H7" s="217"/>
      <c r="I7" s="218"/>
      <c r="J7" s="270"/>
      <c r="K7" s="270"/>
      <c r="L7" s="270"/>
      <c r="M7" s="270"/>
      <c r="N7" s="599"/>
      <c r="O7" s="599"/>
      <c r="P7" s="270"/>
      <c r="Q7" s="270"/>
      <c r="R7" s="270"/>
      <c r="S7" s="270"/>
      <c r="T7" s="270"/>
      <c r="U7" s="415"/>
      <c r="V7" s="17"/>
      <c r="W7" s="17"/>
      <c r="Z7" s="2" t="s">
        <v>55</v>
      </c>
      <c r="AA7" s="2" t="s">
        <v>53</v>
      </c>
      <c r="AC7" s="108" t="s">
        <v>2</v>
      </c>
      <c r="AD7" s="108" t="s">
        <v>11</v>
      </c>
    </row>
    <row r="8" spans="2:34" ht="20.100000000000001" customHeight="1" x14ac:dyDescent="0.15">
      <c r="B8" s="297"/>
      <c r="C8" s="298"/>
      <c r="D8" s="615"/>
      <c r="E8" s="616"/>
      <c r="F8" s="617"/>
      <c r="G8" s="618"/>
      <c r="H8" s="616"/>
      <c r="I8" s="619"/>
      <c r="J8" s="544"/>
      <c r="K8" s="544"/>
      <c r="L8" s="544"/>
      <c r="M8" s="544"/>
      <c r="N8" s="606"/>
      <c r="O8" s="606"/>
      <c r="P8" s="315" t="str">
        <f>IF(D8="","",D8*G8*L8*0.93)</f>
        <v/>
      </c>
      <c r="Q8" s="527"/>
      <c r="R8" s="315" t="str">
        <f>IF(D8="","",IF(共通条件・結果!$AA$7="８地域","-",D8*G8*L8*0.51))</f>
        <v/>
      </c>
      <c r="S8" s="527"/>
      <c r="T8" s="315" t="str">
        <f>IF(D8="","",D8*G8*Z8)</f>
        <v/>
      </c>
      <c r="U8" s="317"/>
      <c r="V8" s="2"/>
      <c r="W8" s="2"/>
      <c r="Z8" s="2">
        <f>IF(AA8="FALSE",J8,0.5*J8+0.5*(1/((1/J8)+AA8)))</f>
        <v>0</v>
      </c>
      <c r="AA8" s="11" t="str">
        <f>IF(D8="","FALSE",IF(N8="雨戸",0.1,IF(N8="ｼｬｯﾀｰ",0.1,IF(N8="障子",0.18))))</f>
        <v>FALSE</v>
      </c>
      <c r="AC8" s="2">
        <v>0.93</v>
      </c>
      <c r="AD8" s="2">
        <v>0.51</v>
      </c>
    </row>
    <row r="9" spans="2:34" ht="20.100000000000001" customHeight="1" x14ac:dyDescent="0.15">
      <c r="B9" s="295"/>
      <c r="C9" s="296"/>
      <c r="D9" s="608"/>
      <c r="E9" s="609"/>
      <c r="F9" s="610"/>
      <c r="G9" s="611"/>
      <c r="H9" s="609"/>
      <c r="I9" s="612"/>
      <c r="J9" s="504"/>
      <c r="K9" s="504"/>
      <c r="L9" s="504"/>
      <c r="M9" s="504"/>
      <c r="N9" s="613"/>
      <c r="O9" s="613"/>
      <c r="P9" s="366" t="str">
        <f>IF(D9="","",D9*G9*L9*0.93)</f>
        <v/>
      </c>
      <c r="Q9" s="367"/>
      <c r="R9" s="366" t="str">
        <f>IF(D9="","",IF(共通条件・結果!$AA$7="８地域","-",D9*G9*L9*0.51))</f>
        <v/>
      </c>
      <c r="S9" s="367"/>
      <c r="T9" s="366" t="str">
        <f>IF(D9="","",D9*G9*Z9)</f>
        <v/>
      </c>
      <c r="U9" s="588"/>
      <c r="V9" s="11"/>
      <c r="W9" s="11"/>
      <c r="Z9" s="2">
        <f t="shared" ref="Z9:Z12" si="0">IF(AA9="FALSE",J9,0.5*J9+0.5*(1/((1/J9)+AA9)))</f>
        <v>0</v>
      </c>
      <c r="AA9" s="11" t="str">
        <f>IF(D9="","FALSE",IF(N9="雨戸",0.1,IF(N9="ｼｬｯﾀｰ",0.1,IF(N9="障子",0.18))))</f>
        <v>FALSE</v>
      </c>
      <c r="AC9" s="2"/>
      <c r="AD9" s="2"/>
    </row>
    <row r="10" spans="2:34" ht="20.100000000000001" customHeight="1" x14ac:dyDescent="0.15">
      <c r="B10" s="295"/>
      <c r="C10" s="296"/>
      <c r="D10" s="608"/>
      <c r="E10" s="609"/>
      <c r="F10" s="610"/>
      <c r="G10" s="611"/>
      <c r="H10" s="609"/>
      <c r="I10" s="612"/>
      <c r="J10" s="504"/>
      <c r="K10" s="504"/>
      <c r="L10" s="504"/>
      <c r="M10" s="504"/>
      <c r="N10" s="613"/>
      <c r="O10" s="613"/>
      <c r="P10" s="366" t="str">
        <f>IF(D10="","",D10*G10*L10*0.93)</f>
        <v/>
      </c>
      <c r="Q10" s="367"/>
      <c r="R10" s="366" t="str">
        <f>IF(D10="","",IF(共通条件・結果!$AA$7="８地域","-",D10*G10*L10*0.51))</f>
        <v/>
      </c>
      <c r="S10" s="367"/>
      <c r="T10" s="366" t="str">
        <f>IF(D10="","",D10*G10*Z10)</f>
        <v/>
      </c>
      <c r="U10" s="588"/>
      <c r="V10" s="11"/>
      <c r="W10" s="11"/>
      <c r="Z10" s="2">
        <f t="shared" si="0"/>
        <v>0</v>
      </c>
      <c r="AA10" s="11" t="str">
        <f>IF(D10="","FALSE",IF(N10="雨戸",0.1,IF(N10="ｼｬｯﾀｰ",0.1,IF(N10="障子",0.18))))</f>
        <v>FALSE</v>
      </c>
      <c r="AC10" s="2"/>
      <c r="AD10" s="2"/>
    </row>
    <row r="11" spans="2:34" ht="20.100000000000001" customHeight="1" x14ac:dyDescent="0.15">
      <c r="B11" s="295"/>
      <c r="C11" s="607"/>
      <c r="D11" s="608"/>
      <c r="E11" s="609"/>
      <c r="F11" s="610"/>
      <c r="G11" s="611"/>
      <c r="H11" s="609"/>
      <c r="I11" s="612"/>
      <c r="J11" s="504"/>
      <c r="K11" s="504"/>
      <c r="L11" s="504"/>
      <c r="M11" s="504"/>
      <c r="N11" s="613"/>
      <c r="O11" s="613"/>
      <c r="P11" s="366" t="str">
        <f t="shared" ref="P11:P12" si="1">IF(D11="","",D11*G11*L11*0.93)</f>
        <v/>
      </c>
      <c r="Q11" s="367"/>
      <c r="R11" s="366" t="str">
        <f>IF(D11="","",IF(共通条件・結果!$AA$7="８地域","-",D11*G11*L11*0.51))</f>
        <v/>
      </c>
      <c r="S11" s="367"/>
      <c r="T11" s="366" t="str">
        <f>IF(D11="","",D11*G11*Z11)</f>
        <v/>
      </c>
      <c r="U11" s="588"/>
      <c r="V11" s="2"/>
      <c r="W11" s="2"/>
      <c r="Z11" s="2">
        <f t="shared" si="0"/>
        <v>0</v>
      </c>
      <c r="AA11" s="11" t="str">
        <f>IF(D11="","FALSE",IF(N11="雨戸",0.1,IF(N11="ｼｬｯﾀｰ",0.1,IF(N11="障子",0.18))))</f>
        <v>FALSE</v>
      </c>
      <c r="AC11" s="2"/>
      <c r="AD11" s="2"/>
    </row>
    <row r="12" spans="2:34" ht="20.100000000000001" customHeight="1" thickBot="1" x14ac:dyDescent="0.2">
      <c r="B12" s="325"/>
      <c r="C12" s="600"/>
      <c r="D12" s="601"/>
      <c r="E12" s="602"/>
      <c r="F12" s="603"/>
      <c r="G12" s="604"/>
      <c r="H12" s="602"/>
      <c r="I12" s="605"/>
      <c r="J12" s="504"/>
      <c r="K12" s="504"/>
      <c r="L12" s="504"/>
      <c r="M12" s="504"/>
      <c r="N12" s="606"/>
      <c r="O12" s="606"/>
      <c r="P12" s="366" t="str">
        <f t="shared" si="1"/>
        <v/>
      </c>
      <c r="Q12" s="367"/>
      <c r="R12" s="366" t="str">
        <f>IF(D12="","",IF(共通条件・結果!$AA$7="８地域","-",D12*G12*L12*0.51))</f>
        <v/>
      </c>
      <c r="S12" s="367"/>
      <c r="T12" s="318" t="str">
        <f>IF(D12="","",D12*G12*Z12)</f>
        <v/>
      </c>
      <c r="U12" s="320"/>
      <c r="V12" s="2"/>
      <c r="W12" s="2"/>
      <c r="Z12" s="2">
        <f t="shared" si="0"/>
        <v>0</v>
      </c>
      <c r="AA12" s="11" t="str">
        <f>IF(D12="","FALSE",IF(N12="雨戸",0.1,IF(N12="ｼｬｯﾀｰ",0.1,IF(N12="障子",0.18))))</f>
        <v>FALSE</v>
      </c>
      <c r="AC12" s="2"/>
      <c r="AD12" s="2"/>
    </row>
    <row r="13" spans="2:34" ht="20.100000000000001" customHeight="1" thickBot="1" x14ac:dyDescent="0.2">
      <c r="B13" s="386" t="s">
        <v>25</v>
      </c>
      <c r="C13" s="387"/>
      <c r="D13" s="387"/>
      <c r="E13" s="387"/>
      <c r="F13" s="387"/>
      <c r="G13" s="387"/>
      <c r="H13" s="387"/>
      <c r="I13" s="387"/>
      <c r="J13" s="387"/>
      <c r="K13" s="387"/>
      <c r="L13" s="387"/>
      <c r="M13" s="387"/>
      <c r="N13" s="387"/>
      <c r="O13" s="388"/>
      <c r="P13" s="327">
        <f>SUM(P8:Q12)</f>
        <v>0</v>
      </c>
      <c r="Q13" s="330"/>
      <c r="R13" s="327">
        <f>IF(共通条件・結果!AA7="８地域","-",SUM(R8:S12))</f>
        <v>0</v>
      </c>
      <c r="S13" s="330"/>
      <c r="T13" s="328">
        <f>SUM(T8:U12)</f>
        <v>0</v>
      </c>
      <c r="U13" s="329"/>
      <c r="V13" s="4"/>
      <c r="W13" s="4"/>
      <c r="Z13" s="2"/>
      <c r="AA13" s="11"/>
    </row>
    <row r="14" spans="2:34" ht="20.100000000000001" customHeight="1" x14ac:dyDescent="0.15">
      <c r="B14" s="2"/>
      <c r="C14" s="2"/>
      <c r="D14" s="2"/>
      <c r="E14" s="2"/>
      <c r="F14" s="2"/>
      <c r="G14" s="2"/>
      <c r="H14" s="2"/>
      <c r="I14" s="2"/>
      <c r="J14" s="2"/>
      <c r="K14" s="2"/>
      <c r="L14" s="2"/>
      <c r="M14" s="2"/>
      <c r="N14" s="2"/>
      <c r="O14" s="2"/>
      <c r="P14" s="2"/>
      <c r="Q14" s="2"/>
      <c r="R14" s="2"/>
      <c r="S14" s="2"/>
      <c r="T14" s="2"/>
      <c r="U14" s="2"/>
      <c r="V14" s="2"/>
      <c r="W14" s="2"/>
      <c r="X14" s="2"/>
      <c r="Y14" s="2"/>
      <c r="Z14" s="2"/>
      <c r="AA14" s="11"/>
    </row>
    <row r="15" spans="2:34" ht="20.100000000000001" customHeight="1" thickBot="1" x14ac:dyDescent="0.2">
      <c r="B15" s="4" t="s">
        <v>32</v>
      </c>
      <c r="C15" s="2"/>
      <c r="D15" s="2"/>
      <c r="E15" s="2"/>
      <c r="F15" s="2"/>
      <c r="G15" s="2"/>
      <c r="H15" s="2"/>
      <c r="I15" s="2"/>
      <c r="J15" s="2"/>
      <c r="K15" s="2"/>
      <c r="L15" s="2"/>
      <c r="M15" s="2"/>
      <c r="N15" s="2"/>
      <c r="O15" s="2"/>
      <c r="P15" s="2"/>
      <c r="Q15" s="2"/>
      <c r="R15" s="2"/>
      <c r="S15" s="2"/>
      <c r="T15" s="2"/>
      <c r="U15" s="2"/>
      <c r="V15" s="2"/>
      <c r="W15" s="2"/>
      <c r="X15" s="2"/>
      <c r="Y15" s="2"/>
    </row>
    <row r="16" spans="2:34" ht="20.100000000000001" customHeight="1" x14ac:dyDescent="0.15">
      <c r="B16" s="257" t="s">
        <v>0</v>
      </c>
      <c r="C16" s="263"/>
      <c r="D16" s="267" t="s">
        <v>37</v>
      </c>
      <c r="E16" s="227"/>
      <c r="F16" s="267" t="s">
        <v>295</v>
      </c>
      <c r="G16" s="227"/>
      <c r="H16" s="267" t="s">
        <v>290</v>
      </c>
      <c r="I16" s="227"/>
      <c r="J16" s="595" t="s">
        <v>296</v>
      </c>
      <c r="K16" s="596"/>
      <c r="L16" s="277" t="s">
        <v>284</v>
      </c>
      <c r="M16" s="263"/>
      <c r="N16" s="277" t="s">
        <v>262</v>
      </c>
      <c r="O16" s="263"/>
      <c r="P16" s="267" t="s">
        <v>297</v>
      </c>
      <c r="Q16" s="227"/>
      <c r="R16" s="267" t="s">
        <v>286</v>
      </c>
      <c r="S16" s="227"/>
      <c r="T16" s="267" t="s">
        <v>266</v>
      </c>
      <c r="U16" s="228"/>
    </row>
    <row r="17" spans="2:26" ht="20.100000000000001" customHeight="1" x14ac:dyDescent="0.15">
      <c r="B17" s="258"/>
      <c r="C17" s="352"/>
      <c r="D17" s="268"/>
      <c r="E17" s="269"/>
      <c r="F17" s="268"/>
      <c r="G17" s="269"/>
      <c r="H17" s="268"/>
      <c r="I17" s="269"/>
      <c r="J17" s="597"/>
      <c r="K17" s="598"/>
      <c r="L17" s="311"/>
      <c r="M17" s="352"/>
      <c r="N17" s="311"/>
      <c r="O17" s="352"/>
      <c r="P17" s="268"/>
      <c r="Q17" s="269"/>
      <c r="R17" s="268"/>
      <c r="S17" s="269"/>
      <c r="T17" s="269"/>
      <c r="U17" s="414"/>
    </row>
    <row r="18" spans="2:26" ht="20.100000000000001" customHeight="1" thickBot="1" x14ac:dyDescent="0.2">
      <c r="B18" s="260"/>
      <c r="C18" s="353"/>
      <c r="D18" s="270"/>
      <c r="E18" s="270"/>
      <c r="F18" s="270"/>
      <c r="G18" s="270"/>
      <c r="H18" s="270"/>
      <c r="I18" s="270"/>
      <c r="J18" s="599"/>
      <c r="K18" s="599"/>
      <c r="L18" s="313"/>
      <c r="M18" s="353"/>
      <c r="N18" s="313"/>
      <c r="O18" s="353"/>
      <c r="P18" s="270"/>
      <c r="Q18" s="270"/>
      <c r="R18" s="270"/>
      <c r="S18" s="270"/>
      <c r="T18" s="270"/>
      <c r="U18" s="415"/>
      <c r="Z18" s="1"/>
    </row>
    <row r="19" spans="2:26" ht="20.100000000000001" customHeight="1" x14ac:dyDescent="0.15">
      <c r="B19" s="297"/>
      <c r="C19" s="298"/>
      <c r="D19" s="474"/>
      <c r="E19" s="475"/>
      <c r="F19" s="250"/>
      <c r="G19" s="251"/>
      <c r="H19" s="250"/>
      <c r="I19" s="251"/>
      <c r="J19" s="315" t="str">
        <f>IF(F19="","",F19-H19)</f>
        <v/>
      </c>
      <c r="K19" s="527"/>
      <c r="L19" s="474"/>
      <c r="M19" s="475"/>
      <c r="N19" s="593"/>
      <c r="O19" s="594"/>
      <c r="P19" s="551" t="str">
        <f>IF($D19="","",IF(OR($D19="外気床",$D19="その他床",$D19="上階界床",$D19="下階界床",$D19="ピット等"),0,IF(OR($D19="屋根",$D19="天井"),J19*L19*0.034)))</f>
        <v/>
      </c>
      <c r="Q19" s="552"/>
      <c r="R19" s="315" t="str">
        <f>IF(D19="","",IF(共通条件・結果!$AA$7="８地域","-",IF($D19="　","",IF(OR($D19="外気床",$D19="その他床",$D19="上階界床",$D19="下階界床",$D19="ピット等"),0,IF(OR($D19="屋根",$D19="天井"),J19*L19*0.034)))))</f>
        <v/>
      </c>
      <c r="S19" s="527"/>
      <c r="T19" s="315" t="str">
        <f>IF(D19="","",J19*L19*N19)</f>
        <v/>
      </c>
      <c r="U19" s="317"/>
      <c r="Z19" s="18"/>
    </row>
    <row r="20" spans="2:26" ht="20.100000000000001" customHeight="1" x14ac:dyDescent="0.15">
      <c r="B20" s="295"/>
      <c r="C20" s="296"/>
      <c r="D20" s="289"/>
      <c r="E20" s="290"/>
      <c r="F20" s="289"/>
      <c r="G20" s="290"/>
      <c r="H20" s="289"/>
      <c r="I20" s="290"/>
      <c r="J20" s="366" t="str">
        <f t="shared" ref="J20:J26" si="2">IF(F20="","",F20-H20)</f>
        <v/>
      </c>
      <c r="K20" s="367"/>
      <c r="L20" s="289"/>
      <c r="M20" s="290"/>
      <c r="N20" s="591"/>
      <c r="O20" s="592"/>
      <c r="P20" s="366" t="str">
        <f>IF($D20="","",IF(OR($D20="外気床",$D20="その他床",$D20="上階界床",$D20="下階界床",$D20="ピット等"),0,IF(OR($D20="屋根",$D20="天井"),J20*L20*0.034)))</f>
        <v/>
      </c>
      <c r="Q20" s="367"/>
      <c r="R20" s="366" t="str">
        <f>IF(D20="","",IF(共通条件・結果!$AA$7="８地域","-",IF($D20="　","",IF(OR($D20="外気床",$D20="その他床",$D20="上階界床",$D20="下階界床",$D20="ピット等"),0,IF(OR($D20="屋根",$D20="天井"),J20*L20*0.034)))))</f>
        <v/>
      </c>
      <c r="S20" s="367"/>
      <c r="T20" s="366" t="str">
        <f t="shared" ref="T20:T26" si="3">IF(D20="","",J20*L20*N20)</f>
        <v/>
      </c>
      <c r="U20" s="588"/>
      <c r="Z20" s="19"/>
    </row>
    <row r="21" spans="2:26" ht="20.100000000000001" customHeight="1" x14ac:dyDescent="0.15">
      <c r="B21" s="295"/>
      <c r="C21" s="296"/>
      <c r="D21" s="289"/>
      <c r="E21" s="290"/>
      <c r="F21" s="289"/>
      <c r="G21" s="290"/>
      <c r="H21" s="289"/>
      <c r="I21" s="290"/>
      <c r="J21" s="366" t="str">
        <f t="shared" si="2"/>
        <v/>
      </c>
      <c r="K21" s="367"/>
      <c r="L21" s="289"/>
      <c r="M21" s="290"/>
      <c r="N21" s="591"/>
      <c r="O21" s="592"/>
      <c r="P21" s="366" t="str">
        <f t="shared" ref="P21:P26" si="4">IF($D21="","",IF(OR($D21="外気床",$D21="その他床",$D21="上階界床",$D21="下階界床",$D21="ピット等"),0,IF(OR($D21="屋根",$D21="天井"),J21*L21*0.034)))</f>
        <v/>
      </c>
      <c r="Q21" s="367"/>
      <c r="R21" s="366" t="str">
        <f>IF(D21="","",IF(共通条件・結果!$AA$7="８地域","-",IF($D21="　","",IF(OR($D21="外気床",$D21="その他床",$D21="上階界床",$D21="下階界床",$D21="ピット等"),0,IF(OR($D21="屋根",$D21="天井"),J21*L21*0.034)))))</f>
        <v/>
      </c>
      <c r="S21" s="367"/>
      <c r="T21" s="366" t="str">
        <f>IF(D21="","",J21*L21*N21)</f>
        <v/>
      </c>
      <c r="U21" s="588"/>
      <c r="Z21" s="19"/>
    </row>
    <row r="22" spans="2:26" ht="20.100000000000001" customHeight="1" x14ac:dyDescent="0.15">
      <c r="B22" s="295"/>
      <c r="C22" s="296"/>
      <c r="D22" s="289"/>
      <c r="E22" s="290"/>
      <c r="F22" s="289"/>
      <c r="G22" s="290"/>
      <c r="H22" s="289"/>
      <c r="I22" s="290"/>
      <c r="J22" s="366" t="str">
        <f t="shared" si="2"/>
        <v/>
      </c>
      <c r="K22" s="367"/>
      <c r="L22" s="289"/>
      <c r="M22" s="290"/>
      <c r="N22" s="591"/>
      <c r="O22" s="592"/>
      <c r="P22" s="366" t="str">
        <f t="shared" si="4"/>
        <v/>
      </c>
      <c r="Q22" s="367"/>
      <c r="R22" s="366" t="str">
        <f>IF(D22="","",IF(共通条件・結果!$AA$7="８地域","-",IF($D22="　","",IF(OR($D22="外気床",$D22="その他床",$D22="上階界床",$D22="下階界床",$D22="ピット等"),0,IF(OR($D22="屋根",$D22="天井"),J22*L22*0.034)))))</f>
        <v/>
      </c>
      <c r="S22" s="367"/>
      <c r="T22" s="366" t="str">
        <f t="shared" si="3"/>
        <v/>
      </c>
      <c r="U22" s="588"/>
      <c r="Z22" s="19"/>
    </row>
    <row r="23" spans="2:26" ht="20.100000000000001" customHeight="1" x14ac:dyDescent="0.15">
      <c r="B23" s="295"/>
      <c r="C23" s="296"/>
      <c r="D23" s="289"/>
      <c r="E23" s="290"/>
      <c r="F23" s="289"/>
      <c r="G23" s="290"/>
      <c r="H23" s="289"/>
      <c r="I23" s="290"/>
      <c r="J23" s="366" t="str">
        <f t="shared" si="2"/>
        <v/>
      </c>
      <c r="K23" s="367"/>
      <c r="L23" s="289"/>
      <c r="M23" s="290"/>
      <c r="N23" s="591"/>
      <c r="O23" s="592"/>
      <c r="P23" s="366" t="str">
        <f t="shared" si="4"/>
        <v/>
      </c>
      <c r="Q23" s="367"/>
      <c r="R23" s="366" t="str">
        <f>IF(D23="","",IF(共通条件・結果!$AA$7="８地域","-",IF($D23="　","",IF(OR($D23="外気床",$D23="その他床",$D23="上階界床",$D23="下階界床",$D23="ピット等"),0,IF(OR($D23="屋根",$D23="天井"),J23*L23*0.034)))))</f>
        <v/>
      </c>
      <c r="S23" s="367"/>
      <c r="T23" s="366" t="str">
        <f t="shared" si="3"/>
        <v/>
      </c>
      <c r="U23" s="588"/>
      <c r="Z23" s="19"/>
    </row>
    <row r="24" spans="2:26" ht="20.100000000000001" customHeight="1" x14ac:dyDescent="0.15">
      <c r="B24" s="295"/>
      <c r="C24" s="296"/>
      <c r="D24" s="289"/>
      <c r="E24" s="290"/>
      <c r="F24" s="289"/>
      <c r="G24" s="290"/>
      <c r="H24" s="289"/>
      <c r="I24" s="290"/>
      <c r="J24" s="366" t="str">
        <f t="shared" si="2"/>
        <v/>
      </c>
      <c r="K24" s="367"/>
      <c r="L24" s="289"/>
      <c r="M24" s="290"/>
      <c r="N24" s="591"/>
      <c r="O24" s="592"/>
      <c r="P24" s="366" t="str">
        <f t="shared" si="4"/>
        <v/>
      </c>
      <c r="Q24" s="367"/>
      <c r="R24" s="366" t="str">
        <f>IF(D24="","",IF(共通条件・結果!$AA$7="８地域","-",IF($D24="　","",IF(OR($D24="外気床",$D24="その他床",$D24="上階界床",$D24="下階界床",$D24="ピット等"),0,IF(OR($D24="屋根",$D24="天井"),J24*L24*0.034)))))</f>
        <v/>
      </c>
      <c r="S24" s="367"/>
      <c r="T24" s="366" t="str">
        <f t="shared" si="3"/>
        <v/>
      </c>
      <c r="U24" s="588"/>
      <c r="Z24" s="19"/>
    </row>
    <row r="25" spans="2:26" ht="20.100000000000001" customHeight="1" x14ac:dyDescent="0.15">
      <c r="B25" s="295"/>
      <c r="C25" s="296"/>
      <c r="D25" s="289"/>
      <c r="E25" s="290"/>
      <c r="F25" s="289"/>
      <c r="G25" s="290"/>
      <c r="H25" s="289"/>
      <c r="I25" s="290"/>
      <c r="J25" s="366" t="str">
        <f t="shared" si="2"/>
        <v/>
      </c>
      <c r="K25" s="367"/>
      <c r="L25" s="289"/>
      <c r="M25" s="290"/>
      <c r="N25" s="586"/>
      <c r="O25" s="587"/>
      <c r="P25" s="366" t="str">
        <f t="shared" si="4"/>
        <v/>
      </c>
      <c r="Q25" s="367"/>
      <c r="R25" s="366" t="str">
        <f>IF(D25="","",IF(共通条件・結果!$AA$7="８地域","-",IF($D25="　","",IF(OR($D25="外気床",$D25="その他床",$D25="上階界床",$D25="下階界床",$D25="ピット等"),0,IF(OR($D25="屋根",$D25="天井"),J25*L25*0.034)))))</f>
        <v/>
      </c>
      <c r="S25" s="367"/>
      <c r="T25" s="366" t="str">
        <f t="shared" si="3"/>
        <v/>
      </c>
      <c r="U25" s="588"/>
      <c r="Z25" s="19"/>
    </row>
    <row r="26" spans="2:26" ht="20.100000000000001" customHeight="1" thickBot="1" x14ac:dyDescent="0.2">
      <c r="B26" s="325"/>
      <c r="C26" s="326"/>
      <c r="D26" s="481"/>
      <c r="E26" s="482"/>
      <c r="F26" s="242"/>
      <c r="G26" s="241"/>
      <c r="H26" s="242"/>
      <c r="I26" s="241"/>
      <c r="J26" s="318" t="str">
        <f t="shared" si="2"/>
        <v/>
      </c>
      <c r="K26" s="381"/>
      <c r="L26" s="481"/>
      <c r="M26" s="482"/>
      <c r="N26" s="589"/>
      <c r="O26" s="590"/>
      <c r="P26" s="366" t="str">
        <f t="shared" si="4"/>
        <v/>
      </c>
      <c r="Q26" s="367"/>
      <c r="R26" s="318" t="str">
        <f>IF(D26="","",IF(共通条件・結果!$AA$7="８地域","-",IF($D26="　","",IF(OR($D26="外気床",$D26="その他床",$D26="上階界床",$D26="下階界床",$D26="ピット等"),0,IF(OR($D26="屋根",$D26="天井"),J26*L26*0.034)))))</f>
        <v/>
      </c>
      <c r="S26" s="381"/>
      <c r="T26" s="399" t="str">
        <f t="shared" si="3"/>
        <v/>
      </c>
      <c r="U26" s="585"/>
      <c r="Z26" s="19"/>
    </row>
    <row r="27" spans="2:26" ht="20.100000000000001" customHeight="1" thickBot="1" x14ac:dyDescent="0.2">
      <c r="B27" s="247" t="s">
        <v>30</v>
      </c>
      <c r="C27" s="248"/>
      <c r="D27" s="248"/>
      <c r="E27" s="248"/>
      <c r="F27" s="248"/>
      <c r="G27" s="248"/>
      <c r="H27" s="248"/>
      <c r="I27" s="248"/>
      <c r="J27" s="248"/>
      <c r="K27" s="248"/>
      <c r="L27" s="248"/>
      <c r="M27" s="248"/>
      <c r="N27" s="248"/>
      <c r="O27" s="249"/>
      <c r="P27" s="327">
        <f>SUM(P19:Q26)</f>
        <v>0</v>
      </c>
      <c r="Q27" s="330"/>
      <c r="R27" s="327">
        <f>IF(共通条件・結果!AA7="８地域","-",SUM(R19:S26))</f>
        <v>0</v>
      </c>
      <c r="S27" s="328"/>
      <c r="T27" s="327">
        <f>SUM(T19:U26)</f>
        <v>0</v>
      </c>
      <c r="U27" s="329"/>
      <c r="V27" s="22"/>
    </row>
    <row r="28" spans="2:26" ht="20.100000000000001" customHeight="1" x14ac:dyDescent="0.15">
      <c r="B28" s="2"/>
      <c r="C28" s="2"/>
      <c r="D28" s="2"/>
      <c r="E28" s="2"/>
      <c r="F28" s="2"/>
      <c r="G28" s="2"/>
      <c r="H28" s="2"/>
      <c r="I28" s="2"/>
      <c r="J28" s="2"/>
      <c r="K28" s="2"/>
      <c r="L28" s="2"/>
      <c r="M28" s="2"/>
      <c r="N28" s="2"/>
      <c r="O28" s="2"/>
      <c r="P28" s="2"/>
      <c r="Q28" s="2"/>
    </row>
    <row r="29" spans="2:26" ht="20.100000000000001" customHeight="1" x14ac:dyDescent="0.15">
      <c r="B29" s="2"/>
      <c r="C29" s="2"/>
      <c r="D29" s="2"/>
      <c r="E29" s="2"/>
      <c r="F29" s="2"/>
      <c r="G29" s="2"/>
      <c r="H29" s="2"/>
      <c r="I29" s="2"/>
      <c r="J29" s="2"/>
      <c r="K29" s="2"/>
      <c r="L29" s="2"/>
      <c r="M29" s="2"/>
      <c r="N29" s="2"/>
      <c r="O29" s="2"/>
      <c r="P29" s="2"/>
      <c r="Q29" s="2"/>
    </row>
    <row r="30" spans="2:26" ht="20.100000000000001" customHeight="1" x14ac:dyDescent="0.15">
      <c r="B30" s="2"/>
      <c r="C30" s="2"/>
      <c r="D30" s="2"/>
      <c r="E30" s="2"/>
      <c r="F30" s="2"/>
      <c r="G30" s="2"/>
      <c r="H30" s="2"/>
      <c r="I30" s="2"/>
      <c r="J30" s="2"/>
      <c r="K30" s="2"/>
      <c r="L30" s="2"/>
      <c r="M30" s="2"/>
    </row>
    <row r="31" spans="2:26" ht="20.100000000000001" customHeight="1" thickBot="1" x14ac:dyDescent="0.2">
      <c r="B31" s="4" t="s">
        <v>106</v>
      </c>
      <c r="C31" s="2"/>
      <c r="D31" s="2"/>
      <c r="E31" s="2"/>
      <c r="F31" s="2"/>
      <c r="G31" s="2"/>
      <c r="H31" s="2"/>
      <c r="I31" s="2"/>
      <c r="J31" s="2"/>
      <c r="K31" s="2"/>
      <c r="L31" s="2"/>
      <c r="M31" s="2"/>
      <c r="N31" s="2"/>
      <c r="O31" s="2"/>
      <c r="P31" s="2"/>
      <c r="Q31" s="2"/>
      <c r="R31" s="2"/>
      <c r="S31" s="5"/>
      <c r="T31" s="5"/>
      <c r="U31" s="5"/>
      <c r="V31" s="5"/>
      <c r="W31" s="5"/>
      <c r="X31" s="5"/>
      <c r="Y31" s="2"/>
    </row>
    <row r="32" spans="2:26" ht="20.100000000000001" customHeight="1" x14ac:dyDescent="0.15">
      <c r="B32" s="574" t="s">
        <v>33</v>
      </c>
      <c r="C32" s="575"/>
      <c r="D32" s="186" t="s">
        <v>31</v>
      </c>
      <c r="E32" s="187"/>
      <c r="F32" s="187"/>
      <c r="G32" s="187"/>
      <c r="H32" s="187"/>
      <c r="I32" s="187"/>
      <c r="J32" s="188"/>
      <c r="K32" s="37"/>
      <c r="L32" s="301">
        <f>P32+U32</f>
        <v>0</v>
      </c>
      <c r="M32" s="301"/>
      <c r="N32" s="37" t="s">
        <v>213</v>
      </c>
      <c r="O32" s="7" t="s">
        <v>34</v>
      </c>
      <c r="P32" s="580">
        <f>D8*G8+D9*G9+D10*G10+D11*G11+D12*G12</f>
        <v>0</v>
      </c>
      <c r="Q32" s="580"/>
      <c r="R32" s="8" t="s">
        <v>214</v>
      </c>
      <c r="S32" s="581" t="s">
        <v>35</v>
      </c>
      <c r="T32" s="581"/>
      <c r="U32" s="580">
        <f>SUM(J19:K26)</f>
        <v>0</v>
      </c>
      <c r="V32" s="580"/>
      <c r="W32" s="10" t="s">
        <v>215</v>
      </c>
      <c r="X32" s="13"/>
      <c r="Y32" s="2"/>
    </row>
    <row r="33" spans="2:25" ht="20.100000000000001" customHeight="1" x14ac:dyDescent="0.15">
      <c r="B33" s="576"/>
      <c r="C33" s="577"/>
      <c r="D33" s="582" t="s">
        <v>42</v>
      </c>
      <c r="E33" s="583"/>
      <c r="F33" s="583"/>
      <c r="G33" s="583"/>
      <c r="H33" s="583"/>
      <c r="I33" s="583"/>
      <c r="J33" s="584"/>
      <c r="K33" s="14"/>
      <c r="L33" s="14"/>
      <c r="M33" s="14"/>
      <c r="N33" s="14"/>
      <c r="O33" s="14"/>
      <c r="P33" s="14"/>
      <c r="Q33" s="14"/>
      <c r="R33" s="14"/>
      <c r="S33" s="14"/>
      <c r="T33" s="14"/>
      <c r="U33" s="348">
        <f>P13+P27</f>
        <v>0</v>
      </c>
      <c r="V33" s="348"/>
      <c r="W33" s="302" t="s">
        <v>261</v>
      </c>
      <c r="X33" s="303"/>
      <c r="Y33" s="2"/>
    </row>
    <row r="34" spans="2:25" ht="20.100000000000001" customHeight="1" x14ac:dyDescent="0.15">
      <c r="B34" s="576"/>
      <c r="C34" s="577"/>
      <c r="D34" s="582" t="s">
        <v>43</v>
      </c>
      <c r="E34" s="583"/>
      <c r="F34" s="583"/>
      <c r="G34" s="583"/>
      <c r="H34" s="583"/>
      <c r="I34" s="583"/>
      <c r="J34" s="584"/>
      <c r="K34" s="14"/>
      <c r="L34" s="14"/>
      <c r="M34" s="14"/>
      <c r="N34" s="14"/>
      <c r="O34" s="14"/>
      <c r="P34" s="14"/>
      <c r="Q34" s="14"/>
      <c r="R34" s="14"/>
      <c r="S34" s="14"/>
      <c r="T34" s="14"/>
      <c r="U34" s="348">
        <f>IF(共通条件・結果!AA7="８地域","-",R13+R27)</f>
        <v>0</v>
      </c>
      <c r="V34" s="348"/>
      <c r="W34" s="302" t="s">
        <v>261</v>
      </c>
      <c r="X34" s="303"/>
      <c r="Y34" s="2"/>
    </row>
    <row r="35" spans="2:25" ht="20.100000000000001" customHeight="1" thickBot="1" x14ac:dyDescent="0.2">
      <c r="B35" s="578"/>
      <c r="C35" s="579"/>
      <c r="D35" s="571" t="s">
        <v>12</v>
      </c>
      <c r="E35" s="572"/>
      <c r="F35" s="572"/>
      <c r="G35" s="572"/>
      <c r="H35" s="572"/>
      <c r="I35" s="572"/>
      <c r="J35" s="573"/>
      <c r="K35" s="5"/>
      <c r="L35" s="30"/>
      <c r="M35" s="30"/>
      <c r="N35" s="15"/>
      <c r="O35" s="40"/>
      <c r="P35" s="32"/>
      <c r="Q35" s="32"/>
      <c r="R35" s="32"/>
      <c r="S35" s="32"/>
      <c r="T35" s="5"/>
      <c r="U35" s="310">
        <f>T13+T27</f>
        <v>0</v>
      </c>
      <c r="V35" s="217"/>
      <c r="W35" s="33" t="s">
        <v>216</v>
      </c>
      <c r="X35" s="6"/>
      <c r="Y35" s="2"/>
    </row>
    <row r="36" spans="2:25" ht="5.0999999999999996" customHeight="1" x14ac:dyDescent="0.15"/>
    <row r="37" spans="2:25" ht="20.100000000000001" customHeight="1" x14ac:dyDescent="0.15"/>
    <row r="38" spans="2:25" ht="20.100000000000001" customHeight="1" x14ac:dyDescent="0.15"/>
    <row r="39" spans="2:25" ht="20.100000000000001" customHeight="1" x14ac:dyDescent="0.15"/>
    <row r="40" spans="2:25" ht="20.100000000000001" customHeight="1" x14ac:dyDescent="0.15"/>
    <row r="41" spans="2:25" ht="20.100000000000001" customHeight="1" x14ac:dyDescent="0.15"/>
    <row r="42" spans="2:25" ht="20.100000000000001" customHeight="1" x14ac:dyDescent="0.15"/>
    <row r="43" spans="2:25" ht="20.100000000000001" customHeight="1" x14ac:dyDescent="0.15"/>
    <row r="44" spans="2:25" ht="20.100000000000001" customHeight="1" x14ac:dyDescent="0.15"/>
    <row r="45" spans="2:25" ht="20.100000000000001" customHeight="1" x14ac:dyDescent="0.15"/>
    <row r="46" spans="2:25" ht="20.100000000000001" customHeight="1" x14ac:dyDescent="0.15"/>
    <row r="47" spans="2:25" ht="20.100000000000001" customHeight="1" x14ac:dyDescent="0.15"/>
    <row r="48" spans="2:2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sheetData>
  <sheetProtection algorithmName="SHA-512" hashValue="uBNOo3Rp1GTNMsEMx9f0Nk+EHXwr8eHhRcB0JPLt9gdRLiqFBfHz5uZy2LdbF7JEFNGFJWfUNQ4NHbmskVHWPA==" saltValue="AZlBp8cDlzQeMW4kChNgVA==" spinCount="100000" sheet="1" selectLockedCells="1"/>
  <mergeCells count="168">
    <mergeCell ref="W33:X33"/>
    <mergeCell ref="W34:X34"/>
    <mergeCell ref="G7:I7"/>
    <mergeCell ref="B8:C8"/>
    <mergeCell ref="D8:F8"/>
    <mergeCell ref="G8:I8"/>
    <mergeCell ref="J8:K8"/>
    <mergeCell ref="L8:M8"/>
    <mergeCell ref="B2:X2"/>
    <mergeCell ref="B5:C7"/>
    <mergeCell ref="J5:K7"/>
    <mergeCell ref="L5:M7"/>
    <mergeCell ref="N5:O7"/>
    <mergeCell ref="P5:Q7"/>
    <mergeCell ref="R5:S7"/>
    <mergeCell ref="T5:U7"/>
    <mergeCell ref="D7:F7"/>
    <mergeCell ref="N8:O8"/>
    <mergeCell ref="P8:Q8"/>
    <mergeCell ref="R8:S8"/>
    <mergeCell ref="T8:U8"/>
    <mergeCell ref="D5:I6"/>
    <mergeCell ref="B9:C9"/>
    <mergeCell ref="D9:F9"/>
    <mergeCell ref="G9:I9"/>
    <mergeCell ref="J9:K9"/>
    <mergeCell ref="L9:M9"/>
    <mergeCell ref="N9:O9"/>
    <mergeCell ref="P9:Q9"/>
    <mergeCell ref="R9:S9"/>
    <mergeCell ref="T9:U9"/>
    <mergeCell ref="B10:C10"/>
    <mergeCell ref="D10:F10"/>
    <mergeCell ref="G10:I10"/>
    <mergeCell ref="J10:K10"/>
    <mergeCell ref="L10:M10"/>
    <mergeCell ref="N10:O10"/>
    <mergeCell ref="P10:Q10"/>
    <mergeCell ref="R10:S10"/>
    <mergeCell ref="T10:U10"/>
    <mergeCell ref="B11:C11"/>
    <mergeCell ref="D11:F11"/>
    <mergeCell ref="G11:I11"/>
    <mergeCell ref="J11:K11"/>
    <mergeCell ref="L11:M11"/>
    <mergeCell ref="N11:O11"/>
    <mergeCell ref="P11:Q11"/>
    <mergeCell ref="R11:S11"/>
    <mergeCell ref="T11:U11"/>
    <mergeCell ref="B12:C12"/>
    <mergeCell ref="D12:F12"/>
    <mergeCell ref="G12:I12"/>
    <mergeCell ref="J12:K12"/>
    <mergeCell ref="L12:M12"/>
    <mergeCell ref="N12:O12"/>
    <mergeCell ref="P12:Q12"/>
    <mergeCell ref="R12:S12"/>
    <mergeCell ref="T12:U12"/>
    <mergeCell ref="B13:O13"/>
    <mergeCell ref="P13:Q13"/>
    <mergeCell ref="R13:S13"/>
    <mergeCell ref="T13:U13"/>
    <mergeCell ref="B16:C18"/>
    <mergeCell ref="D16:E18"/>
    <mergeCell ref="F16:G18"/>
    <mergeCell ref="H16:I18"/>
    <mergeCell ref="J16:K18"/>
    <mergeCell ref="L16:M18"/>
    <mergeCell ref="N16:O18"/>
    <mergeCell ref="P16:Q18"/>
    <mergeCell ref="R16:S18"/>
    <mergeCell ref="T16:U18"/>
    <mergeCell ref="T19:U19"/>
    <mergeCell ref="B20:C20"/>
    <mergeCell ref="D20:E20"/>
    <mergeCell ref="F20:G20"/>
    <mergeCell ref="H20:I20"/>
    <mergeCell ref="J20:K20"/>
    <mergeCell ref="L20:M20"/>
    <mergeCell ref="N20:O20"/>
    <mergeCell ref="P20:Q20"/>
    <mergeCell ref="R20:S20"/>
    <mergeCell ref="T20:U20"/>
    <mergeCell ref="B19:C19"/>
    <mergeCell ref="D19:E19"/>
    <mergeCell ref="F19:G19"/>
    <mergeCell ref="H19:I19"/>
    <mergeCell ref="J19:K19"/>
    <mergeCell ref="L19:M19"/>
    <mergeCell ref="N19:O19"/>
    <mergeCell ref="P19:Q19"/>
    <mergeCell ref="R19:S19"/>
    <mergeCell ref="T21:U21"/>
    <mergeCell ref="B22:C22"/>
    <mergeCell ref="D22:E22"/>
    <mergeCell ref="F22:G22"/>
    <mergeCell ref="H22:I22"/>
    <mergeCell ref="J22:K22"/>
    <mergeCell ref="L22:M22"/>
    <mergeCell ref="N22:O22"/>
    <mergeCell ref="P22:Q22"/>
    <mergeCell ref="R22:S22"/>
    <mergeCell ref="T22:U22"/>
    <mergeCell ref="B21:C21"/>
    <mergeCell ref="D21:E21"/>
    <mergeCell ref="F21:G21"/>
    <mergeCell ref="H21:I21"/>
    <mergeCell ref="J21:K21"/>
    <mergeCell ref="L21:M21"/>
    <mergeCell ref="N21:O21"/>
    <mergeCell ref="P21:Q21"/>
    <mergeCell ref="R21:S21"/>
    <mergeCell ref="T23:U23"/>
    <mergeCell ref="B24:C24"/>
    <mergeCell ref="D24:E24"/>
    <mergeCell ref="F24:G24"/>
    <mergeCell ref="H24:I24"/>
    <mergeCell ref="J24:K24"/>
    <mergeCell ref="L24:M24"/>
    <mergeCell ref="N24:O24"/>
    <mergeCell ref="P24:Q24"/>
    <mergeCell ref="R24:S24"/>
    <mergeCell ref="T24:U24"/>
    <mergeCell ref="B23:C23"/>
    <mergeCell ref="D23:E23"/>
    <mergeCell ref="F23:G23"/>
    <mergeCell ref="H23:I23"/>
    <mergeCell ref="J23:K23"/>
    <mergeCell ref="L23:M23"/>
    <mergeCell ref="N23:O23"/>
    <mergeCell ref="P23:Q23"/>
    <mergeCell ref="R23:S23"/>
    <mergeCell ref="T26:U26"/>
    <mergeCell ref="B27:O27"/>
    <mergeCell ref="P27:Q27"/>
    <mergeCell ref="R27:S27"/>
    <mergeCell ref="T27:U27"/>
    <mergeCell ref="N25:O25"/>
    <mergeCell ref="P25:Q25"/>
    <mergeCell ref="R25:S25"/>
    <mergeCell ref="T25:U25"/>
    <mergeCell ref="B26:C26"/>
    <mergeCell ref="D26:E26"/>
    <mergeCell ref="F26:G26"/>
    <mergeCell ref="H26:I26"/>
    <mergeCell ref="J26:K26"/>
    <mergeCell ref="L26:M26"/>
    <mergeCell ref="B25:C25"/>
    <mergeCell ref="D25:E25"/>
    <mergeCell ref="F25:G25"/>
    <mergeCell ref="H25:I25"/>
    <mergeCell ref="J25:K25"/>
    <mergeCell ref="L25:M25"/>
    <mergeCell ref="N26:O26"/>
    <mergeCell ref="P26:Q26"/>
    <mergeCell ref="R26:S26"/>
    <mergeCell ref="D35:J35"/>
    <mergeCell ref="U35:V35"/>
    <mergeCell ref="B32:C35"/>
    <mergeCell ref="D32:J32"/>
    <mergeCell ref="L32:M32"/>
    <mergeCell ref="P32:Q32"/>
    <mergeCell ref="S32:T32"/>
    <mergeCell ref="U32:V32"/>
    <mergeCell ref="D33:J33"/>
    <mergeCell ref="U33:V33"/>
    <mergeCell ref="D34:J34"/>
    <mergeCell ref="U34:V34"/>
  </mergeCells>
  <phoneticPr fontId="4"/>
  <conditionalFormatting sqref="B19:I26">
    <cfRule type="expression" dxfId="19" priority="64" stopIfTrue="1">
      <formula>$AH$3&lt;&gt;2</formula>
    </cfRule>
  </conditionalFormatting>
  <conditionalFormatting sqref="B8:O12">
    <cfRule type="expression" dxfId="18" priority="156" stopIfTrue="1">
      <formula>$AH$3&lt;&gt;2</formula>
    </cfRule>
  </conditionalFormatting>
  <conditionalFormatting sqref="J19:K26">
    <cfRule type="expression" dxfId="17" priority="13">
      <formula>$AH$3&lt;&gt;2</formula>
    </cfRule>
  </conditionalFormatting>
  <conditionalFormatting sqref="L32:M32">
    <cfRule type="expression" dxfId="16" priority="6">
      <formula>$AH$3&lt;&gt;2</formula>
    </cfRule>
  </conditionalFormatting>
  <conditionalFormatting sqref="L19:O26">
    <cfRule type="expression" dxfId="15" priority="60" stopIfTrue="1">
      <formula>$AH$3&lt;&gt;2</formula>
    </cfRule>
  </conditionalFormatting>
  <conditionalFormatting sqref="P32:Q32">
    <cfRule type="expression" dxfId="14" priority="5">
      <formula>$AH$3&lt;&gt;2</formula>
    </cfRule>
  </conditionalFormatting>
  <conditionalFormatting sqref="P8:U13">
    <cfRule type="expression" dxfId="13" priority="42">
      <formula>$AH$3&lt;&gt;2</formula>
    </cfRule>
  </conditionalFormatting>
  <conditionalFormatting sqref="P19:U27">
    <cfRule type="expression" dxfId="12" priority="7">
      <formula>$AH$3&lt;&gt;2</formula>
    </cfRule>
  </conditionalFormatting>
  <conditionalFormatting sqref="U32:V35">
    <cfRule type="expression" dxfId="11" priority="1">
      <formula>$AH$3&lt;&gt;2</formula>
    </cfRule>
  </conditionalFormatting>
  <dataValidations count="3">
    <dataValidation type="list" allowBlank="1" showInputMessage="1" showErrorMessage="1" sqref="D19:E26" xr:uid="{00000000-0002-0000-0A00-000000000000}">
      <formula1>"　,屋根,天井,外気床,その他床,上階界床,下階界床,ピット等"</formula1>
    </dataValidation>
    <dataValidation type="list" allowBlank="1" showInputMessage="1" showErrorMessage="1" sqref="N8:O12" xr:uid="{00000000-0002-0000-0A00-000001000000}">
      <formula1>"　,雨戸,ｼｬｯﾀｰ,障子"</formula1>
    </dataValidation>
    <dataValidation type="list" showInputMessage="1" showErrorMessage="1" sqref="N19:O26" xr:uid="{00000000-0002-0000-0A00-000002000000}">
      <formula1>"1.0,0.7,0.05,0.15,0"</formula1>
    </dataValidation>
  </dataValidations>
  <pageMargins left="0.70866141732283472" right="0.70866141732283472" top="0.74803149606299213" bottom="0.74803149606299213" header="0.31496062992125984" footer="0.31496062992125984"/>
  <pageSetup paperSize="9" scale="81" orientation="portrait" r:id="rId1"/>
  <headerFooter>
    <oddHeader xml:space="preserve">&amp;RVer3.6
</oddHeader>
    <oddFooter>&amp;Cⓒ　2022 hyoukakyoukai.All right reserved</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99FF"/>
  </sheetPr>
  <dimension ref="B1:BD159"/>
  <sheetViews>
    <sheetView workbookViewId="0"/>
  </sheetViews>
  <sheetFormatPr defaultRowHeight="13.5" x14ac:dyDescent="0.15"/>
  <cols>
    <col min="1" max="1" width="0.75" customWidth="1"/>
    <col min="2" max="3" width="4.125" customWidth="1"/>
    <col min="4" max="29" width="3.625" customWidth="1"/>
    <col min="30" max="30" width="7.75" hidden="1" customWidth="1"/>
    <col min="31" max="31" width="5" style="118" hidden="1" customWidth="1"/>
    <col min="32" max="32" width="7.75" style="118" hidden="1" customWidth="1"/>
    <col min="33" max="33" width="10" style="118" hidden="1" customWidth="1"/>
    <col min="34" max="34" width="5.25" style="118" hidden="1" customWidth="1"/>
    <col min="35" max="35" width="8.125" style="118" hidden="1" customWidth="1"/>
    <col min="36" max="37" width="6.625" style="118" hidden="1" customWidth="1"/>
    <col min="38" max="38" width="7.75" style="118" hidden="1" customWidth="1"/>
    <col min="39" max="39" width="4.75" style="118" hidden="1" customWidth="1"/>
    <col min="40" max="40" width="7.125" style="118" hidden="1" customWidth="1"/>
    <col min="41" max="41" width="4.75" style="118" hidden="1" customWidth="1"/>
    <col min="42" max="42" width="7.125" style="118" hidden="1" customWidth="1"/>
    <col min="43" max="43" width="7.75" style="118" hidden="1" customWidth="1"/>
    <col min="44" max="54" width="3.625" style="118" customWidth="1"/>
    <col min="55" max="56" width="9" style="118"/>
  </cols>
  <sheetData>
    <row r="1" spans="2:56" ht="3.75" customHeight="1" x14ac:dyDescent="0.15"/>
    <row r="2" spans="2:56" ht="30" customHeight="1" x14ac:dyDescent="0.15">
      <c r="B2" s="421" t="s">
        <v>351</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G2" s="145" t="s">
        <v>341</v>
      </c>
      <c r="AH2" s="119" t="s">
        <v>376</v>
      </c>
    </row>
    <row r="3" spans="2:56" s="3" customFormat="1" ht="27" customHeight="1" x14ac:dyDescent="0.15">
      <c r="B3" s="120" t="s">
        <v>342</v>
      </c>
      <c r="J3" s="121"/>
      <c r="K3" s="635" t="s">
        <v>343</v>
      </c>
      <c r="L3" s="636"/>
      <c r="M3" s="636"/>
      <c r="N3" s="637"/>
      <c r="O3" s="122"/>
      <c r="P3" s="635" t="s">
        <v>344</v>
      </c>
      <c r="Q3" s="636"/>
      <c r="R3" s="636"/>
      <c r="S3" s="637"/>
      <c r="AE3" s="11"/>
      <c r="AF3" s="11"/>
      <c r="AG3" s="146">
        <v>1</v>
      </c>
      <c r="AH3" s="103">
        <f>共通条件・結果!AH3</f>
        <v>1</v>
      </c>
      <c r="AI3" s="11"/>
      <c r="AJ3" s="11"/>
      <c r="AK3" s="11"/>
      <c r="AL3" s="11"/>
      <c r="AM3" s="11"/>
      <c r="AN3" s="11"/>
      <c r="AO3" s="11"/>
      <c r="AP3" s="11"/>
      <c r="AQ3" s="11"/>
      <c r="AR3" s="11"/>
      <c r="AS3" s="11"/>
      <c r="AT3" s="11"/>
      <c r="AU3" s="11"/>
      <c r="AV3" s="11"/>
      <c r="AW3" s="11"/>
      <c r="AX3" s="11"/>
      <c r="AY3" s="11"/>
      <c r="AZ3" s="11"/>
      <c r="BA3" s="11"/>
      <c r="BB3" s="11"/>
      <c r="BC3" s="11"/>
      <c r="BD3" s="11"/>
    </row>
    <row r="4" spans="2:56" s="3" customFormat="1" ht="20.100000000000001" customHeight="1" thickBot="1" x14ac:dyDescent="0.2">
      <c r="B4" s="4" t="s">
        <v>372</v>
      </c>
      <c r="C4" s="2"/>
      <c r="D4" s="2"/>
      <c r="E4" s="2"/>
      <c r="F4" s="2"/>
      <c r="G4" s="2"/>
      <c r="H4" s="2"/>
      <c r="I4" s="2"/>
      <c r="J4" s="123"/>
      <c r="K4" s="123"/>
      <c r="L4" s="123"/>
      <c r="M4" s="123"/>
      <c r="N4" s="123"/>
      <c r="O4" s="123"/>
      <c r="P4" s="123"/>
      <c r="Q4" s="123"/>
      <c r="R4" s="123"/>
      <c r="S4" s="123"/>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row>
    <row r="5" spans="2:56" s="3" customFormat="1" ht="20.100000000000001" customHeight="1" x14ac:dyDescent="0.15">
      <c r="B5" s="638" t="s">
        <v>26</v>
      </c>
      <c r="C5" s="639"/>
      <c r="D5" s="227" t="s">
        <v>27</v>
      </c>
      <c r="E5" s="227"/>
      <c r="F5" s="227"/>
      <c r="G5" s="642"/>
      <c r="H5" s="643" t="s">
        <v>264</v>
      </c>
      <c r="I5" s="644"/>
      <c r="J5" s="123"/>
      <c r="K5" s="123"/>
      <c r="L5" s="123"/>
      <c r="M5" s="123"/>
      <c r="N5" s="123"/>
      <c r="O5" s="123"/>
      <c r="P5" s="123"/>
      <c r="Q5" s="123"/>
      <c r="R5" s="123"/>
      <c r="S5" s="123"/>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row>
    <row r="6" spans="2:56" s="3" customFormat="1" ht="20.100000000000001" customHeight="1" thickBot="1" x14ac:dyDescent="0.2">
      <c r="B6" s="640"/>
      <c r="C6" s="641"/>
      <c r="D6" s="270"/>
      <c r="E6" s="270"/>
      <c r="F6" s="270"/>
      <c r="G6" s="283"/>
      <c r="H6" s="645"/>
      <c r="I6" s="646"/>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row>
    <row r="7" spans="2:56" s="3" customFormat="1" ht="20.100000000000001" customHeight="1" x14ac:dyDescent="0.15">
      <c r="B7" s="626"/>
      <c r="C7" s="627"/>
      <c r="D7" s="628"/>
      <c r="E7" s="628"/>
      <c r="F7" s="628"/>
      <c r="G7" s="628"/>
      <c r="H7" s="628"/>
      <c r="I7" s="629"/>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row>
    <row r="8" spans="2:56" s="3" customFormat="1" ht="20.100000000000001" customHeight="1" x14ac:dyDescent="0.15">
      <c r="B8" s="630"/>
      <c r="C8" s="631"/>
      <c r="D8" s="632"/>
      <c r="E8" s="632"/>
      <c r="F8" s="632"/>
      <c r="G8" s="632"/>
      <c r="H8" s="633"/>
      <c r="I8" s="634"/>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row>
    <row r="9" spans="2:56" s="3" customFormat="1" ht="20.100000000000001" customHeight="1" x14ac:dyDescent="0.15">
      <c r="B9" s="630"/>
      <c r="C9" s="631"/>
      <c r="D9" s="632"/>
      <c r="E9" s="632"/>
      <c r="F9" s="632"/>
      <c r="G9" s="632"/>
      <c r="H9" s="633"/>
      <c r="I9" s="634"/>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row>
    <row r="10" spans="2:56" s="3" customFormat="1" ht="20.100000000000001" customHeight="1" x14ac:dyDescent="0.15">
      <c r="B10" s="630"/>
      <c r="C10" s="631"/>
      <c r="D10" s="632"/>
      <c r="E10" s="632"/>
      <c r="F10" s="632"/>
      <c r="G10" s="632"/>
      <c r="H10" s="633"/>
      <c r="I10" s="634"/>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row>
    <row r="11" spans="2:56" s="3" customFormat="1" ht="20.100000000000001" customHeight="1" x14ac:dyDescent="0.15">
      <c r="B11" s="647"/>
      <c r="C11" s="648"/>
      <c r="D11" s="649"/>
      <c r="E11" s="649"/>
      <c r="F11" s="649"/>
      <c r="G11" s="649"/>
      <c r="H11" s="649"/>
      <c r="I11" s="650"/>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row>
    <row r="12" spans="2:56" s="3" customFormat="1" ht="20.100000000000001" customHeight="1" x14ac:dyDescent="0.15">
      <c r="B12" s="630"/>
      <c r="C12" s="631"/>
      <c r="D12" s="633"/>
      <c r="E12" s="633"/>
      <c r="F12" s="633"/>
      <c r="G12" s="633"/>
      <c r="H12" s="633"/>
      <c r="I12" s="634"/>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row>
    <row r="13" spans="2:56" s="3" customFormat="1" ht="20.100000000000001" customHeight="1" x14ac:dyDescent="0.15">
      <c r="B13" s="630"/>
      <c r="C13" s="631"/>
      <c r="D13" s="633"/>
      <c r="E13" s="633"/>
      <c r="F13" s="633"/>
      <c r="G13" s="633"/>
      <c r="H13" s="633"/>
      <c r="I13" s="634"/>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row>
    <row r="14" spans="2:56" s="3" customFormat="1" ht="20.100000000000001" customHeight="1" thickBot="1" x14ac:dyDescent="0.2">
      <c r="B14" s="655"/>
      <c r="C14" s="656"/>
      <c r="D14" s="657"/>
      <c r="E14" s="657"/>
      <c r="F14" s="657"/>
      <c r="G14" s="657"/>
      <c r="H14" s="657"/>
      <c r="I14" s="658"/>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row>
    <row r="15" spans="2:56" s="3" customFormat="1" ht="20.100000000000001" customHeight="1" thickBot="1" x14ac:dyDescent="0.2">
      <c r="B15" s="651" t="s">
        <v>36</v>
      </c>
      <c r="C15" s="652"/>
      <c r="D15" s="652"/>
      <c r="E15" s="652"/>
      <c r="F15" s="652"/>
      <c r="G15" s="652"/>
      <c r="H15" s="653">
        <f>SUM(H7:I14)</f>
        <v>0</v>
      </c>
      <c r="I15" s="654"/>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row>
    <row r="16" spans="2:56" s="3" customFormat="1" ht="20.100000000000001" customHeight="1" x14ac:dyDescent="0.15">
      <c r="B16" s="2" t="s">
        <v>345</v>
      </c>
      <c r="C16" s="20"/>
      <c r="D16" s="20"/>
      <c r="E16" s="20"/>
      <c r="F16" s="20"/>
      <c r="G16" s="20"/>
      <c r="H16" s="21"/>
      <c r="I16" s="2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row>
    <row r="17" spans="2:56" s="3" customFormat="1" ht="20.100000000000001" customHeight="1" x14ac:dyDescent="0.15">
      <c r="B17" s="2"/>
      <c r="C17" s="20"/>
      <c r="D17" s="20"/>
      <c r="E17" s="20"/>
      <c r="F17" s="20"/>
      <c r="G17" s="20"/>
      <c r="H17" s="21"/>
      <c r="I17" s="2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row>
    <row r="18" spans="2:56" s="3" customFormat="1" ht="20.100000000000001" customHeight="1" x14ac:dyDescent="0.15">
      <c r="B18" s="4"/>
      <c r="C18" s="20"/>
      <c r="D18" s="20"/>
      <c r="E18" s="20"/>
      <c r="F18" s="20"/>
      <c r="G18" s="20"/>
      <c r="H18" s="21"/>
      <c r="I18" s="2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row>
    <row r="19" spans="2:56" s="2" customFormat="1" ht="20.100000000000001" customHeight="1" thickBot="1" x14ac:dyDescent="0.2">
      <c r="B19" s="4" t="s">
        <v>373</v>
      </c>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row>
    <row r="20" spans="2:56" s="2" customFormat="1" ht="20.100000000000001" customHeight="1" x14ac:dyDescent="0.15">
      <c r="B20" s="620" t="s">
        <v>26</v>
      </c>
      <c r="C20" s="227"/>
      <c r="D20" s="227" t="s">
        <v>27</v>
      </c>
      <c r="E20" s="227"/>
      <c r="F20" s="227"/>
      <c r="G20" s="227"/>
      <c r="H20" s="277" t="s">
        <v>298</v>
      </c>
      <c r="I20" s="349"/>
      <c r="J20" s="278"/>
      <c r="K20" s="277" t="s">
        <v>263</v>
      </c>
      <c r="L20" s="349"/>
      <c r="M20" s="278"/>
      <c r="N20" s="277" t="s">
        <v>349</v>
      </c>
      <c r="O20" s="349"/>
      <c r="P20" s="278"/>
      <c r="Q20" s="277" t="s">
        <v>266</v>
      </c>
      <c r="R20" s="165"/>
      <c r="S20" s="166"/>
      <c r="AE20" s="11"/>
      <c r="AF20" s="11"/>
      <c r="AG20" s="11" t="s">
        <v>350</v>
      </c>
      <c r="AH20" s="11"/>
      <c r="AI20" s="11"/>
      <c r="AJ20" s="11"/>
      <c r="AK20" s="11"/>
      <c r="AL20" s="11"/>
      <c r="AM20" s="11"/>
      <c r="AN20" s="11"/>
      <c r="AO20" s="11"/>
      <c r="AP20" s="11"/>
      <c r="AQ20" s="11"/>
      <c r="AR20" s="11"/>
      <c r="AS20" s="11"/>
      <c r="AT20" s="11"/>
      <c r="AU20" s="11"/>
      <c r="AV20" s="11"/>
      <c r="AW20" s="11"/>
      <c r="AX20" s="11"/>
      <c r="AY20" s="11"/>
      <c r="AZ20" s="11"/>
      <c r="BA20" s="11"/>
      <c r="BB20" s="11"/>
      <c r="BC20" s="11"/>
      <c r="BD20" s="11"/>
    </row>
    <row r="21" spans="2:56" s="2" customFormat="1" ht="20.100000000000001" customHeight="1" thickBot="1" x14ac:dyDescent="0.2">
      <c r="B21" s="622"/>
      <c r="C21" s="270"/>
      <c r="D21" s="270"/>
      <c r="E21" s="270"/>
      <c r="F21" s="270"/>
      <c r="G21" s="270"/>
      <c r="H21" s="281"/>
      <c r="I21" s="351"/>
      <c r="J21" s="282"/>
      <c r="K21" s="281"/>
      <c r="L21" s="351"/>
      <c r="M21" s="282"/>
      <c r="N21" s="281"/>
      <c r="O21" s="351"/>
      <c r="P21" s="282"/>
      <c r="Q21" s="313"/>
      <c r="R21" s="261"/>
      <c r="S21" s="314"/>
      <c r="AE21" s="11"/>
      <c r="AF21" s="11"/>
      <c r="AG21" s="3"/>
      <c r="AH21" s="11"/>
      <c r="AI21" s="11"/>
      <c r="AJ21" s="11"/>
      <c r="AK21" s="11"/>
      <c r="AL21" s="11"/>
      <c r="AM21" s="11"/>
      <c r="AN21" s="11"/>
      <c r="AO21" s="11"/>
      <c r="AP21" s="11"/>
      <c r="AQ21" s="11"/>
      <c r="AR21" s="11"/>
      <c r="AS21" s="11"/>
      <c r="AT21" s="11"/>
      <c r="AU21" s="11"/>
      <c r="AV21" s="11"/>
      <c r="AW21" s="11"/>
      <c r="AX21" s="11"/>
      <c r="AY21" s="11"/>
      <c r="AZ21" s="11"/>
      <c r="BA21" s="11"/>
      <c r="BB21" s="11"/>
      <c r="BC21" s="11"/>
      <c r="BD21" s="11"/>
    </row>
    <row r="22" spans="2:56" s="2" customFormat="1" ht="20.100000000000001" customHeight="1" x14ac:dyDescent="0.15">
      <c r="B22" s="667" t="str">
        <f>IF(B7="","",B7)</f>
        <v/>
      </c>
      <c r="C22" s="668"/>
      <c r="D22" s="669" t="str">
        <f>IF(D7="","",D7)</f>
        <v/>
      </c>
      <c r="E22" s="670"/>
      <c r="F22" s="670"/>
      <c r="G22" s="668"/>
      <c r="H22" s="250"/>
      <c r="I22" s="288"/>
      <c r="J22" s="251"/>
      <c r="K22" s="250"/>
      <c r="L22" s="288"/>
      <c r="M22" s="251"/>
      <c r="N22" s="354"/>
      <c r="O22" s="355"/>
      <c r="P22" s="356"/>
      <c r="Q22" s="551" t="str">
        <f>IF(H22="","",K22*H22*N22)</f>
        <v/>
      </c>
      <c r="R22" s="671"/>
      <c r="S22" s="672"/>
      <c r="AE22" s="11"/>
      <c r="AF22" s="11"/>
      <c r="AG22" s="21">
        <v>1</v>
      </c>
      <c r="AH22" s="111"/>
      <c r="AI22" s="11"/>
      <c r="AJ22" s="11"/>
      <c r="AK22" s="11"/>
      <c r="AL22" s="11"/>
      <c r="AM22" s="11"/>
      <c r="AN22" s="11"/>
      <c r="AO22" s="11"/>
      <c r="AP22" s="11"/>
      <c r="AQ22" s="11"/>
      <c r="AR22" s="11"/>
      <c r="AS22" s="11"/>
      <c r="AT22" s="11"/>
      <c r="AU22" s="11"/>
      <c r="AV22" s="11"/>
      <c r="AW22" s="11"/>
      <c r="AX22" s="11"/>
      <c r="AY22" s="11"/>
      <c r="AZ22" s="11"/>
      <c r="BA22" s="11"/>
      <c r="BB22" s="11"/>
      <c r="BC22" s="11"/>
      <c r="BD22" s="11"/>
    </row>
    <row r="23" spans="2:56" s="2" customFormat="1" ht="20.100000000000001" customHeight="1" x14ac:dyDescent="0.15">
      <c r="B23" s="659" t="str">
        <f>IF(B8="","",B8)</f>
        <v/>
      </c>
      <c r="C23" s="660"/>
      <c r="D23" s="661" t="str">
        <f>IF(D8="","",D8)</f>
        <v/>
      </c>
      <c r="E23" s="662"/>
      <c r="F23" s="662"/>
      <c r="G23" s="663"/>
      <c r="H23" s="289"/>
      <c r="I23" s="664"/>
      <c r="J23" s="290"/>
      <c r="K23" s="289"/>
      <c r="L23" s="664"/>
      <c r="M23" s="290"/>
      <c r="N23" s="245"/>
      <c r="O23" s="665"/>
      <c r="P23" s="246"/>
      <c r="Q23" s="366" t="str">
        <f>IF(H23="","",K23*H23*N23)</f>
        <v/>
      </c>
      <c r="R23" s="666"/>
      <c r="S23" s="588"/>
      <c r="AE23" s="11"/>
      <c r="AF23" s="11"/>
      <c r="AG23" s="21">
        <v>0.7</v>
      </c>
      <c r="AH23" s="111"/>
      <c r="AI23" s="11"/>
      <c r="AJ23" s="11"/>
      <c r="AK23" s="11"/>
      <c r="AL23" s="11"/>
      <c r="AM23" s="11"/>
      <c r="AN23" s="11"/>
      <c r="AO23" s="11"/>
      <c r="AP23" s="11"/>
      <c r="AQ23" s="11"/>
      <c r="AR23" s="11"/>
      <c r="AS23" s="11"/>
      <c r="AT23" s="11"/>
      <c r="AU23" s="11"/>
      <c r="AV23" s="11"/>
      <c r="AW23" s="11"/>
      <c r="AX23" s="11"/>
      <c r="AY23" s="11"/>
      <c r="AZ23" s="11"/>
      <c r="BA23" s="11"/>
      <c r="BB23" s="11"/>
      <c r="BC23" s="11"/>
      <c r="BD23" s="11"/>
    </row>
    <row r="24" spans="2:56" s="2" customFormat="1" ht="20.100000000000001" customHeight="1" x14ac:dyDescent="0.15">
      <c r="B24" s="673" t="str">
        <f>IF(B9="","",B9)</f>
        <v/>
      </c>
      <c r="C24" s="663"/>
      <c r="D24" s="661" t="str">
        <f>IF(D9="","",D9)</f>
        <v/>
      </c>
      <c r="E24" s="662"/>
      <c r="F24" s="662"/>
      <c r="G24" s="663"/>
      <c r="H24" s="289"/>
      <c r="I24" s="664"/>
      <c r="J24" s="290"/>
      <c r="K24" s="289"/>
      <c r="L24" s="664"/>
      <c r="M24" s="290"/>
      <c r="N24" s="245"/>
      <c r="O24" s="665"/>
      <c r="P24" s="246"/>
      <c r="Q24" s="366" t="str">
        <f t="shared" ref="Q24:Q29" si="0">IF(H24="","",K24*H24*N24)</f>
        <v/>
      </c>
      <c r="R24" s="666"/>
      <c r="S24" s="588"/>
      <c r="AE24" s="11"/>
      <c r="AF24" s="11"/>
      <c r="AG24" s="21">
        <v>0.15</v>
      </c>
      <c r="AH24" s="111"/>
      <c r="AI24" s="11"/>
      <c r="AJ24" s="11"/>
      <c r="AK24" s="11"/>
      <c r="AL24" s="11"/>
      <c r="AM24" s="11"/>
      <c r="AN24" s="11"/>
      <c r="AO24" s="11"/>
      <c r="AP24" s="11"/>
      <c r="AQ24" s="11"/>
      <c r="AR24" s="11"/>
      <c r="AS24" s="11"/>
      <c r="AT24" s="11"/>
      <c r="AU24" s="11"/>
      <c r="AV24" s="11"/>
      <c r="AW24" s="11"/>
      <c r="AX24" s="11"/>
      <c r="AY24" s="11"/>
      <c r="AZ24" s="11"/>
      <c r="BA24" s="11"/>
      <c r="BB24" s="11"/>
      <c r="BC24" s="11"/>
      <c r="BD24" s="11"/>
    </row>
    <row r="25" spans="2:56" s="2" customFormat="1" ht="20.100000000000001" customHeight="1" x14ac:dyDescent="0.15">
      <c r="B25" s="673" t="str">
        <f>IF(B10="","",B10)</f>
        <v/>
      </c>
      <c r="C25" s="663"/>
      <c r="D25" s="661" t="str">
        <f>IF(D10="","",D10)</f>
        <v/>
      </c>
      <c r="E25" s="662"/>
      <c r="F25" s="662"/>
      <c r="G25" s="663"/>
      <c r="H25" s="289"/>
      <c r="I25" s="664"/>
      <c r="J25" s="290"/>
      <c r="K25" s="289"/>
      <c r="L25" s="664"/>
      <c r="M25" s="290"/>
      <c r="N25" s="245"/>
      <c r="O25" s="665"/>
      <c r="P25" s="246"/>
      <c r="Q25" s="366" t="str">
        <f t="shared" si="0"/>
        <v/>
      </c>
      <c r="R25" s="666"/>
      <c r="S25" s="588"/>
      <c r="AE25" s="11"/>
      <c r="AF25" s="11"/>
      <c r="AG25" s="21">
        <v>0.05</v>
      </c>
      <c r="AH25" s="111"/>
      <c r="AI25" s="11"/>
      <c r="AJ25" s="11"/>
      <c r="AK25" s="11"/>
      <c r="AL25" s="11"/>
      <c r="AM25" s="11"/>
      <c r="AN25" s="11"/>
      <c r="AO25" s="11"/>
      <c r="AP25" s="11"/>
      <c r="AQ25" s="11"/>
      <c r="AR25" s="11"/>
      <c r="AS25" s="11"/>
      <c r="AT25" s="11"/>
      <c r="AU25" s="11"/>
      <c r="AV25" s="11"/>
      <c r="AW25" s="11"/>
      <c r="AX25" s="11"/>
      <c r="AY25" s="11"/>
      <c r="AZ25" s="11"/>
      <c r="BA25" s="11"/>
      <c r="BB25" s="11"/>
      <c r="BC25" s="11"/>
      <c r="BD25" s="11"/>
    </row>
    <row r="26" spans="2:56" s="2" customFormat="1" ht="20.100000000000001" customHeight="1" x14ac:dyDescent="0.15">
      <c r="B26" s="674" t="str">
        <f>IF(B11="","",B11)</f>
        <v/>
      </c>
      <c r="C26" s="675"/>
      <c r="D26" s="675" t="str">
        <f>IF(D11="","",D11)</f>
        <v/>
      </c>
      <c r="E26" s="675"/>
      <c r="F26" s="675"/>
      <c r="G26" s="675"/>
      <c r="H26" s="504"/>
      <c r="I26" s="504"/>
      <c r="J26" s="504"/>
      <c r="K26" s="504"/>
      <c r="L26" s="504"/>
      <c r="M26" s="504"/>
      <c r="N26" s="676"/>
      <c r="O26" s="676"/>
      <c r="P26" s="676"/>
      <c r="Q26" s="366" t="str">
        <f t="shared" si="0"/>
        <v/>
      </c>
      <c r="R26" s="666"/>
      <c r="S26" s="588"/>
      <c r="AE26" s="11"/>
      <c r="AF26" s="11"/>
      <c r="AG26" s="111">
        <v>0</v>
      </c>
      <c r="AH26" s="111"/>
      <c r="AI26" s="11"/>
      <c r="AJ26" s="11"/>
      <c r="AK26" s="11"/>
      <c r="AL26" s="11"/>
      <c r="AM26" s="11"/>
      <c r="AN26" s="11"/>
      <c r="AO26" s="11"/>
      <c r="AP26" s="11"/>
      <c r="AQ26" s="11"/>
      <c r="AR26" s="11"/>
      <c r="AS26" s="11"/>
      <c r="AT26" s="11"/>
      <c r="AU26" s="11"/>
      <c r="AV26" s="11"/>
      <c r="AW26" s="11"/>
      <c r="AX26" s="11"/>
      <c r="AY26" s="11"/>
      <c r="AZ26" s="11"/>
      <c r="BA26" s="11"/>
      <c r="BB26" s="11"/>
      <c r="BC26" s="11"/>
      <c r="BD26" s="11"/>
    </row>
    <row r="27" spans="2:56" s="2" customFormat="1" ht="20.100000000000001" customHeight="1" x14ac:dyDescent="0.15">
      <c r="B27" s="674" t="str">
        <f t="shared" ref="B27:B29" si="1">IF(B12="","",B12)</f>
        <v/>
      </c>
      <c r="C27" s="675"/>
      <c r="D27" s="675" t="str">
        <f t="shared" ref="D27:D29" si="2">IF(D12="","",D12)</f>
        <v/>
      </c>
      <c r="E27" s="675"/>
      <c r="F27" s="675"/>
      <c r="G27" s="675"/>
      <c r="H27" s="504"/>
      <c r="I27" s="504"/>
      <c r="J27" s="504"/>
      <c r="K27" s="504"/>
      <c r="L27" s="504"/>
      <c r="M27" s="504"/>
      <c r="N27" s="676"/>
      <c r="O27" s="676"/>
      <c r="P27" s="676"/>
      <c r="Q27" s="366" t="str">
        <f t="shared" si="0"/>
        <v/>
      </c>
      <c r="R27" s="666"/>
      <c r="S27" s="588"/>
      <c r="T27" s="124"/>
      <c r="U27" s="124"/>
      <c r="AE27" s="11"/>
      <c r="AF27" s="11"/>
      <c r="AG27" s="111"/>
      <c r="AH27" s="111"/>
      <c r="AI27" s="11"/>
      <c r="AJ27" s="11"/>
      <c r="AK27" s="11"/>
      <c r="AL27" s="11"/>
      <c r="AM27" s="11"/>
      <c r="AN27" s="11"/>
      <c r="AO27" s="11"/>
      <c r="AP27" s="11"/>
      <c r="AQ27" s="11"/>
      <c r="AR27" s="11"/>
      <c r="AS27" s="11"/>
      <c r="AT27" s="11"/>
      <c r="AU27" s="11"/>
      <c r="AV27" s="11"/>
      <c r="AW27" s="11"/>
      <c r="AX27" s="11"/>
      <c r="AY27" s="11"/>
      <c r="AZ27" s="11"/>
      <c r="BA27" s="11"/>
      <c r="BB27" s="11"/>
      <c r="BC27" s="11"/>
      <c r="BD27" s="11"/>
    </row>
    <row r="28" spans="2:56" s="2" customFormat="1" ht="20.100000000000001" customHeight="1" x14ac:dyDescent="0.15">
      <c r="B28" s="674" t="str">
        <f t="shared" si="1"/>
        <v/>
      </c>
      <c r="C28" s="675"/>
      <c r="D28" s="675" t="str">
        <f t="shared" si="2"/>
        <v/>
      </c>
      <c r="E28" s="675"/>
      <c r="F28" s="675"/>
      <c r="G28" s="675"/>
      <c r="H28" s="504"/>
      <c r="I28" s="504"/>
      <c r="J28" s="504"/>
      <c r="K28" s="504"/>
      <c r="L28" s="504"/>
      <c r="M28" s="504"/>
      <c r="N28" s="676"/>
      <c r="O28" s="676"/>
      <c r="P28" s="676"/>
      <c r="Q28" s="366" t="str">
        <f t="shared" si="0"/>
        <v/>
      </c>
      <c r="R28" s="666"/>
      <c r="S28" s="588"/>
      <c r="T28" s="124"/>
      <c r="U28" s="124"/>
      <c r="AE28" s="11"/>
      <c r="AF28" s="11"/>
      <c r="AG28" s="111"/>
      <c r="AH28" s="111"/>
      <c r="AI28" s="11"/>
      <c r="AJ28" s="11"/>
      <c r="AK28" s="11"/>
      <c r="AL28" s="11"/>
      <c r="AM28" s="11"/>
      <c r="AN28" s="11"/>
      <c r="AO28" s="11"/>
      <c r="AP28" s="11"/>
      <c r="AQ28" s="11"/>
      <c r="AR28" s="11"/>
      <c r="AS28" s="11"/>
      <c r="AT28" s="11"/>
      <c r="AU28" s="11"/>
      <c r="AV28" s="11"/>
      <c r="AW28" s="11"/>
      <c r="AX28" s="11"/>
      <c r="AY28" s="11"/>
      <c r="AZ28" s="11"/>
      <c r="BA28" s="11"/>
      <c r="BB28" s="11"/>
      <c r="BC28" s="11"/>
      <c r="BD28" s="11"/>
    </row>
    <row r="29" spans="2:56" s="2" customFormat="1" ht="20.100000000000001" customHeight="1" thickBot="1" x14ac:dyDescent="0.2">
      <c r="B29" s="677" t="str">
        <f t="shared" si="1"/>
        <v/>
      </c>
      <c r="C29" s="678"/>
      <c r="D29" s="679" t="str">
        <f t="shared" si="2"/>
        <v/>
      </c>
      <c r="E29" s="680"/>
      <c r="F29" s="680"/>
      <c r="G29" s="678"/>
      <c r="H29" s="681"/>
      <c r="I29" s="682"/>
      <c r="J29" s="550"/>
      <c r="K29" s="681"/>
      <c r="L29" s="682"/>
      <c r="M29" s="550"/>
      <c r="N29" s="683"/>
      <c r="O29" s="684"/>
      <c r="P29" s="685"/>
      <c r="Q29" s="545" t="str">
        <f t="shared" si="0"/>
        <v/>
      </c>
      <c r="R29" s="686"/>
      <c r="S29" s="687"/>
      <c r="AE29" s="11"/>
      <c r="AF29" s="11"/>
      <c r="AG29" s="111"/>
      <c r="AH29" s="111"/>
      <c r="AI29" s="11"/>
      <c r="AJ29" s="11"/>
      <c r="AK29" s="11"/>
      <c r="AL29" s="11"/>
      <c r="AM29" s="11"/>
      <c r="AN29" s="11"/>
      <c r="AO29" s="11"/>
      <c r="AP29" s="11"/>
      <c r="AQ29" s="11"/>
      <c r="AR29" s="11"/>
      <c r="AS29" s="11"/>
      <c r="AT29" s="11"/>
      <c r="AU29" s="11"/>
      <c r="AV29" s="11"/>
      <c r="AW29" s="11"/>
      <c r="AX29" s="11"/>
      <c r="AY29" s="11"/>
      <c r="AZ29" s="11"/>
      <c r="BA29" s="11"/>
      <c r="BB29" s="11"/>
      <c r="BC29" s="11"/>
      <c r="BD29" s="11"/>
    </row>
    <row r="30" spans="2:56" s="2" customFormat="1" ht="20.100000000000001" customHeight="1" thickBot="1" x14ac:dyDescent="0.2">
      <c r="B30" s="247" t="s">
        <v>346</v>
      </c>
      <c r="C30" s="248"/>
      <c r="D30" s="248"/>
      <c r="E30" s="248"/>
      <c r="F30" s="248"/>
      <c r="G30" s="248"/>
      <c r="H30" s="653">
        <f>SUM(H22:J29)</f>
        <v>0</v>
      </c>
      <c r="I30" s="653"/>
      <c r="J30" s="653"/>
      <c r="K30" s="688" t="s">
        <v>104</v>
      </c>
      <c r="L30" s="689"/>
      <c r="M30" s="689"/>
      <c r="N30" s="652" t="s">
        <v>104</v>
      </c>
      <c r="O30" s="652"/>
      <c r="P30" s="652"/>
      <c r="Q30" s="327">
        <f>SUM(Q22:S29)</f>
        <v>0</v>
      </c>
      <c r="R30" s="328"/>
      <c r="S30" s="329"/>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row>
    <row r="31" spans="2:56" s="2" customFormat="1" ht="20.100000000000001" customHeight="1" x14ac:dyDescent="0.15">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row>
    <row r="32" spans="2:56" s="3" customFormat="1" ht="20.100000000000001" customHeight="1" thickBot="1" x14ac:dyDescent="0.2">
      <c r="B32" s="4" t="s">
        <v>412</v>
      </c>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row>
    <row r="33" spans="2:56" s="3" customFormat="1" ht="20.100000000000001" customHeight="1" x14ac:dyDescent="0.15">
      <c r="B33" s="257" t="s">
        <v>0</v>
      </c>
      <c r="C33" s="165"/>
      <c r="D33" s="165"/>
      <c r="E33" s="262" t="s">
        <v>74</v>
      </c>
      <c r="F33" s="165"/>
      <c r="G33" s="263"/>
      <c r="H33" s="277" t="s">
        <v>264</v>
      </c>
      <c r="I33" s="165"/>
      <c r="J33" s="263"/>
      <c r="K33" s="277" t="s">
        <v>265</v>
      </c>
      <c r="L33" s="165"/>
      <c r="M33" s="263"/>
      <c r="N33" s="277" t="s">
        <v>349</v>
      </c>
      <c r="O33" s="349"/>
      <c r="P33" s="278"/>
      <c r="Q33" s="690" t="s">
        <v>299</v>
      </c>
      <c r="R33" s="690"/>
      <c r="S33" s="690"/>
      <c r="T33" s="690" t="s">
        <v>300</v>
      </c>
      <c r="U33" s="690"/>
      <c r="V33" s="690"/>
      <c r="W33" s="277" t="s">
        <v>266</v>
      </c>
      <c r="X33" s="165"/>
      <c r="Y33" s="166"/>
      <c r="Z33" s="2"/>
      <c r="AE33" s="11" t="s">
        <v>268</v>
      </c>
      <c r="AF33" s="11"/>
      <c r="AG33" s="11"/>
      <c r="AH33" s="11"/>
      <c r="AI33" s="11"/>
      <c r="AJ33" s="692" t="s">
        <v>277</v>
      </c>
      <c r="AK33" s="692"/>
      <c r="AL33" s="11"/>
      <c r="AM33" s="125"/>
      <c r="AN33" s="11"/>
      <c r="AO33" s="11"/>
      <c r="AP33" s="11"/>
      <c r="AQ33" s="11"/>
      <c r="AR33" s="11"/>
      <c r="AS33" s="11"/>
      <c r="AT33" s="11"/>
      <c r="AU33" s="11"/>
      <c r="AV33" s="11"/>
      <c r="AW33" s="11"/>
      <c r="AX33" s="11"/>
      <c r="AY33" s="11"/>
      <c r="AZ33" s="11"/>
      <c r="BA33" s="11"/>
      <c r="BB33" s="11"/>
      <c r="BC33" s="11"/>
      <c r="BD33" s="11"/>
    </row>
    <row r="34" spans="2:56" s="3" customFormat="1" ht="20.100000000000001" customHeight="1" thickBot="1" x14ac:dyDescent="0.2">
      <c r="B34" s="260"/>
      <c r="C34" s="261"/>
      <c r="D34" s="261"/>
      <c r="E34" s="313"/>
      <c r="F34" s="261"/>
      <c r="G34" s="353"/>
      <c r="H34" s="313"/>
      <c r="I34" s="261"/>
      <c r="J34" s="353"/>
      <c r="K34" s="313"/>
      <c r="L34" s="261"/>
      <c r="M34" s="353"/>
      <c r="N34" s="281"/>
      <c r="O34" s="351"/>
      <c r="P34" s="282"/>
      <c r="Q34" s="691"/>
      <c r="R34" s="691"/>
      <c r="S34" s="691"/>
      <c r="T34" s="691"/>
      <c r="U34" s="691"/>
      <c r="V34" s="691"/>
      <c r="W34" s="313"/>
      <c r="X34" s="261"/>
      <c r="Y34" s="314"/>
      <c r="Z34" s="2"/>
      <c r="AE34" s="11"/>
      <c r="AF34" s="11"/>
      <c r="AG34" s="126"/>
      <c r="AH34" s="127"/>
      <c r="AI34" s="126"/>
      <c r="AJ34" s="128" t="s">
        <v>278</v>
      </c>
      <c r="AK34" s="128" t="s">
        <v>279</v>
      </c>
      <c r="AL34" s="11"/>
      <c r="AM34" s="11"/>
      <c r="AN34" s="125" t="s">
        <v>347</v>
      </c>
      <c r="AO34" s="125"/>
      <c r="AP34" s="125" t="s">
        <v>348</v>
      </c>
      <c r="AQ34" s="11"/>
      <c r="AR34" s="11"/>
      <c r="AS34" s="11"/>
      <c r="AT34" s="11"/>
      <c r="AU34" s="11"/>
      <c r="AV34" s="11"/>
      <c r="AW34" s="11"/>
      <c r="AX34" s="11"/>
      <c r="AY34" s="11"/>
      <c r="AZ34" s="11"/>
      <c r="BA34" s="11"/>
      <c r="BB34" s="11"/>
      <c r="BC34" s="11"/>
      <c r="BD34" s="11"/>
    </row>
    <row r="35" spans="2:56" s="2" customFormat="1" ht="20.100000000000001" customHeight="1" x14ac:dyDescent="0.15">
      <c r="B35" s="297"/>
      <c r="C35" s="693"/>
      <c r="D35" s="693"/>
      <c r="E35" s="250"/>
      <c r="F35" s="288"/>
      <c r="G35" s="251"/>
      <c r="H35" s="250"/>
      <c r="I35" s="288"/>
      <c r="J35" s="251"/>
      <c r="K35" s="250"/>
      <c r="L35" s="288"/>
      <c r="M35" s="251"/>
      <c r="N35" s="354"/>
      <c r="O35" s="355"/>
      <c r="P35" s="356"/>
      <c r="Q35" s="551" t="str">
        <f>IF(H35="","",IF(AG35="外気側以外",0,H35*K35*0.034*AJ35))</f>
        <v/>
      </c>
      <c r="R35" s="671"/>
      <c r="S35" s="552"/>
      <c r="T35" s="365" t="str">
        <f>IF(H35="","",IF(AG35="外気側以外",0,H35*K35*0.034*AK35))</f>
        <v/>
      </c>
      <c r="U35" s="365"/>
      <c r="V35" s="365"/>
      <c r="W35" s="441" t="str">
        <f>IF(H35="","",K35*H35*N35)</f>
        <v/>
      </c>
      <c r="X35" s="441"/>
      <c r="Y35" s="694"/>
      <c r="AE35" s="11" t="s">
        <v>269</v>
      </c>
      <c r="AF35" s="11"/>
      <c r="AG35" s="111" t="str">
        <f>IF(N35=1,"外気側","外気側以外")</f>
        <v>外気側以外</v>
      </c>
      <c r="AH35" s="111"/>
      <c r="AI35" s="11"/>
      <c r="AJ35" s="111" t="e">
        <f>VLOOKUP(E35,夏方位係数,2,FALSE)</f>
        <v>#N/A</v>
      </c>
      <c r="AK35" s="111" t="e">
        <f>VLOOKUP(E35,冬方位係数,2,FALSE)</f>
        <v>#N/A</v>
      </c>
      <c r="AL35" s="11"/>
      <c r="AM35" s="129" t="s">
        <v>96</v>
      </c>
      <c r="AN35" s="129">
        <f>'Ａ（南）'!$Z$4</f>
        <v>0.47599999999999998</v>
      </c>
      <c r="AO35" s="129" t="s">
        <v>96</v>
      </c>
      <c r="AP35" s="129">
        <f>'Ａ（南）'!$AB$4</f>
        <v>0.85099999999999998</v>
      </c>
      <c r="AQ35" s="11"/>
      <c r="AR35" s="11"/>
      <c r="AS35" s="11"/>
      <c r="AT35" s="11"/>
      <c r="AU35" s="11"/>
      <c r="AV35" s="11"/>
      <c r="AW35" s="11"/>
      <c r="AX35" s="11"/>
      <c r="AY35" s="11"/>
      <c r="AZ35" s="11"/>
      <c r="BA35" s="11"/>
      <c r="BB35" s="11"/>
      <c r="BC35" s="11"/>
      <c r="BD35" s="11"/>
    </row>
    <row r="36" spans="2:56" s="2" customFormat="1" ht="20.100000000000001" customHeight="1" x14ac:dyDescent="0.15">
      <c r="B36" s="295"/>
      <c r="C36" s="695"/>
      <c r="D36" s="695"/>
      <c r="E36" s="289"/>
      <c r="F36" s="664"/>
      <c r="G36" s="290"/>
      <c r="H36" s="289"/>
      <c r="I36" s="664"/>
      <c r="J36" s="290"/>
      <c r="K36" s="289"/>
      <c r="L36" s="664"/>
      <c r="M36" s="290"/>
      <c r="N36" s="245"/>
      <c r="O36" s="665"/>
      <c r="P36" s="246"/>
      <c r="Q36" s="366" t="str">
        <f t="shared" ref="Q36:Q44" si="3">IF(H36="","",IF(AG36="外気側以外",0,H36*K36*0.034*AJ36))</f>
        <v/>
      </c>
      <c r="R36" s="666"/>
      <c r="S36" s="367"/>
      <c r="T36" s="365" t="str">
        <f t="shared" ref="T36:T44" si="4">IF(H36="","",IF(AG36="外気側以外",0,H36*K36*0.034*AK36))</f>
        <v/>
      </c>
      <c r="U36" s="365"/>
      <c r="V36" s="365"/>
      <c r="W36" s="365" t="str">
        <f t="shared" ref="W36:W44" si="5">IF(H36="","",K36*H36*N36)</f>
        <v/>
      </c>
      <c r="X36" s="365"/>
      <c r="Y36" s="403"/>
      <c r="AE36" s="11" t="s">
        <v>270</v>
      </c>
      <c r="AF36" s="11"/>
      <c r="AG36" s="111" t="str">
        <f t="shared" ref="AG36:AG44" si="6">IF(N36=1,"外気側","外気側以外")</f>
        <v>外気側以外</v>
      </c>
      <c r="AH36" s="111"/>
      <c r="AI36" s="11"/>
      <c r="AJ36" s="111" t="e">
        <f t="shared" ref="AJ36:AJ44" si="7">VLOOKUP(E36,夏方位係数,2,FALSE)</f>
        <v>#N/A</v>
      </c>
      <c r="AK36" s="111" t="e">
        <f t="shared" ref="AK36:AK44" si="8">VLOOKUP(E36,冬方位係数,2,FALSE)</f>
        <v>#N/A</v>
      </c>
      <c r="AL36" s="11"/>
      <c r="AM36" s="129" t="s">
        <v>94</v>
      </c>
      <c r="AN36" s="129">
        <f>'Ａ（東）'!$Z$4</f>
        <v>0.46800000000000003</v>
      </c>
      <c r="AO36" s="129" t="s">
        <v>94</v>
      </c>
      <c r="AP36" s="129">
        <f>'Ａ（東）'!$AB$4</f>
        <v>0.54</v>
      </c>
      <c r="AQ36" s="11"/>
      <c r="AR36" s="11"/>
      <c r="AS36" s="11"/>
      <c r="AT36" s="11"/>
      <c r="AU36" s="11"/>
      <c r="AV36" s="11"/>
      <c r="AW36" s="11"/>
      <c r="AX36" s="11"/>
      <c r="AY36" s="11"/>
      <c r="AZ36" s="11"/>
      <c r="BA36" s="11"/>
      <c r="BB36" s="11"/>
      <c r="BC36" s="11"/>
      <c r="BD36" s="11"/>
    </row>
    <row r="37" spans="2:56" s="2" customFormat="1" ht="20.100000000000001" customHeight="1" x14ac:dyDescent="0.15">
      <c r="B37" s="295"/>
      <c r="C37" s="695"/>
      <c r="D37" s="695"/>
      <c r="E37" s="289"/>
      <c r="F37" s="664"/>
      <c r="G37" s="290"/>
      <c r="H37" s="289"/>
      <c r="I37" s="664"/>
      <c r="J37" s="290"/>
      <c r="K37" s="289"/>
      <c r="L37" s="664"/>
      <c r="M37" s="290"/>
      <c r="N37" s="245"/>
      <c r="O37" s="665"/>
      <c r="P37" s="246"/>
      <c r="Q37" s="366" t="str">
        <f t="shared" si="3"/>
        <v/>
      </c>
      <c r="R37" s="666"/>
      <c r="S37" s="367"/>
      <c r="T37" s="365" t="str">
        <f t="shared" si="4"/>
        <v/>
      </c>
      <c r="U37" s="365"/>
      <c r="V37" s="365"/>
      <c r="W37" s="365" t="str">
        <f t="shared" si="5"/>
        <v/>
      </c>
      <c r="X37" s="365"/>
      <c r="Y37" s="403"/>
      <c r="AE37" s="11" t="s">
        <v>271</v>
      </c>
      <c r="AF37" s="11"/>
      <c r="AG37" s="111" t="str">
        <f t="shared" si="6"/>
        <v>外気側以外</v>
      </c>
      <c r="AH37" s="111"/>
      <c r="AI37" s="11"/>
      <c r="AJ37" s="111" t="e">
        <f t="shared" si="7"/>
        <v>#N/A</v>
      </c>
      <c r="AK37" s="111" t="e">
        <f t="shared" si="8"/>
        <v>#N/A</v>
      </c>
      <c r="AL37" s="11"/>
      <c r="AM37" s="129" t="s">
        <v>218</v>
      </c>
      <c r="AN37" s="129">
        <f>'Ａ（北）'!$Z$4</f>
        <v>0.33500000000000002</v>
      </c>
      <c r="AO37" s="129" t="s">
        <v>218</v>
      </c>
      <c r="AP37" s="129">
        <f>'Ａ（北）'!$AB$4</f>
        <v>0.28399999999999997</v>
      </c>
      <c r="AQ37" s="11"/>
      <c r="AR37" s="11"/>
      <c r="AS37" s="11"/>
      <c r="AT37" s="11"/>
      <c r="AU37" s="11"/>
      <c r="AV37" s="11"/>
      <c r="AW37" s="11"/>
      <c r="AX37" s="11"/>
      <c r="AY37" s="11"/>
      <c r="AZ37" s="11"/>
      <c r="BA37" s="11"/>
      <c r="BB37" s="11"/>
      <c r="BC37" s="11"/>
      <c r="BD37" s="11"/>
    </row>
    <row r="38" spans="2:56" s="2" customFormat="1" ht="20.100000000000001" customHeight="1" x14ac:dyDescent="0.15">
      <c r="B38" s="295"/>
      <c r="C38" s="695"/>
      <c r="D38" s="695"/>
      <c r="E38" s="289"/>
      <c r="F38" s="664"/>
      <c r="G38" s="290"/>
      <c r="H38" s="289"/>
      <c r="I38" s="664"/>
      <c r="J38" s="290"/>
      <c r="K38" s="289"/>
      <c r="L38" s="664"/>
      <c r="M38" s="290"/>
      <c r="N38" s="245"/>
      <c r="O38" s="665"/>
      <c r="P38" s="246"/>
      <c r="Q38" s="366" t="str">
        <f t="shared" si="3"/>
        <v/>
      </c>
      <c r="R38" s="666"/>
      <c r="S38" s="367"/>
      <c r="T38" s="365" t="str">
        <f t="shared" si="4"/>
        <v/>
      </c>
      <c r="U38" s="365"/>
      <c r="V38" s="365"/>
      <c r="W38" s="365" t="str">
        <f t="shared" si="5"/>
        <v/>
      </c>
      <c r="X38" s="365"/>
      <c r="Y38" s="403"/>
      <c r="AE38" s="11" t="s">
        <v>272</v>
      </c>
      <c r="AF38" s="11"/>
      <c r="AG38" s="111" t="str">
        <f t="shared" si="6"/>
        <v>外気側以外</v>
      </c>
      <c r="AH38" s="111"/>
      <c r="AI38" s="11"/>
      <c r="AJ38" s="111" t="e">
        <f t="shared" si="7"/>
        <v>#N/A</v>
      </c>
      <c r="AK38" s="111" t="e">
        <f t="shared" si="8"/>
        <v>#N/A</v>
      </c>
      <c r="AL38" s="11"/>
      <c r="AM38" s="129" t="s">
        <v>98</v>
      </c>
      <c r="AN38" s="129">
        <f>'Ａ（西）'!$Z$4</f>
        <v>0.55300000000000005</v>
      </c>
      <c r="AO38" s="129" t="s">
        <v>98</v>
      </c>
      <c r="AP38" s="129">
        <f>'Ａ（西）'!$AB$4</f>
        <v>0.54200000000000004</v>
      </c>
      <c r="AQ38" s="11"/>
      <c r="AR38" s="11"/>
      <c r="AS38" s="11"/>
      <c r="AT38" s="11"/>
      <c r="AU38" s="11"/>
      <c r="AV38" s="11"/>
      <c r="AW38" s="11"/>
      <c r="AX38" s="11"/>
      <c r="AY38" s="11"/>
      <c r="AZ38" s="11"/>
      <c r="BA38" s="11"/>
      <c r="BB38" s="11"/>
      <c r="BC38" s="11"/>
      <c r="BD38" s="11"/>
    </row>
    <row r="39" spans="2:56" s="2" customFormat="1" ht="20.100000000000001" customHeight="1" x14ac:dyDescent="0.15">
      <c r="B39" s="295"/>
      <c r="C39" s="695"/>
      <c r="D39" s="695"/>
      <c r="E39" s="289"/>
      <c r="F39" s="664"/>
      <c r="G39" s="290"/>
      <c r="H39" s="289"/>
      <c r="I39" s="664"/>
      <c r="J39" s="290"/>
      <c r="K39" s="289"/>
      <c r="L39" s="664"/>
      <c r="M39" s="290"/>
      <c r="N39" s="245"/>
      <c r="O39" s="665"/>
      <c r="P39" s="246"/>
      <c r="Q39" s="366" t="str">
        <f t="shared" si="3"/>
        <v/>
      </c>
      <c r="R39" s="666"/>
      <c r="S39" s="367"/>
      <c r="T39" s="365" t="str">
        <f t="shared" si="4"/>
        <v/>
      </c>
      <c r="U39" s="365"/>
      <c r="V39" s="365"/>
      <c r="W39" s="365" t="str">
        <f t="shared" si="5"/>
        <v/>
      </c>
      <c r="X39" s="365"/>
      <c r="Y39" s="403"/>
      <c r="AE39" s="11" t="s">
        <v>273</v>
      </c>
      <c r="AF39" s="11"/>
      <c r="AG39" s="111" t="str">
        <f t="shared" si="6"/>
        <v>外気側以外</v>
      </c>
      <c r="AH39" s="111"/>
      <c r="AI39" s="11"/>
      <c r="AJ39" s="111" t="e">
        <f t="shared" si="7"/>
        <v>#N/A</v>
      </c>
      <c r="AK39" s="111" t="e">
        <f t="shared" si="8"/>
        <v>#N/A</v>
      </c>
      <c r="AL39" s="11"/>
      <c r="AM39" s="129" t="s">
        <v>95</v>
      </c>
      <c r="AN39" s="129">
        <f>'Ａ（南東）'!$Z$4</f>
        <v>0.48699999999999999</v>
      </c>
      <c r="AO39" s="129" t="s">
        <v>95</v>
      </c>
      <c r="AP39" s="129">
        <f>'Ａ（南東）'!$AB$4</f>
        <v>0.751</v>
      </c>
      <c r="AQ39" s="11"/>
      <c r="AR39" s="11"/>
      <c r="AS39" s="11"/>
      <c r="AT39" s="11"/>
      <c r="AU39" s="11"/>
      <c r="AV39" s="11"/>
      <c r="AW39" s="11"/>
      <c r="AX39" s="11"/>
      <c r="AY39" s="11"/>
      <c r="AZ39" s="11"/>
      <c r="BA39" s="11"/>
      <c r="BB39" s="11"/>
      <c r="BC39" s="11"/>
      <c r="BD39" s="11"/>
    </row>
    <row r="40" spans="2:56" s="2" customFormat="1" ht="20.100000000000001" customHeight="1" x14ac:dyDescent="0.15">
      <c r="B40" s="295"/>
      <c r="C40" s="695"/>
      <c r="D40" s="695"/>
      <c r="E40" s="289"/>
      <c r="F40" s="664"/>
      <c r="G40" s="290"/>
      <c r="H40" s="289"/>
      <c r="I40" s="664"/>
      <c r="J40" s="290"/>
      <c r="K40" s="289"/>
      <c r="L40" s="664"/>
      <c r="M40" s="290"/>
      <c r="N40" s="245"/>
      <c r="O40" s="665"/>
      <c r="P40" s="246"/>
      <c r="Q40" s="366" t="str">
        <f t="shared" si="3"/>
        <v/>
      </c>
      <c r="R40" s="666"/>
      <c r="S40" s="367"/>
      <c r="T40" s="365" t="str">
        <f t="shared" si="4"/>
        <v/>
      </c>
      <c r="U40" s="365"/>
      <c r="V40" s="365"/>
      <c r="W40" s="365" t="str">
        <f t="shared" si="5"/>
        <v/>
      </c>
      <c r="X40" s="365"/>
      <c r="Y40" s="403"/>
      <c r="AE40" s="11" t="s">
        <v>274</v>
      </c>
      <c r="AF40" s="11"/>
      <c r="AG40" s="111" t="str">
        <f t="shared" si="6"/>
        <v>外気側以外</v>
      </c>
      <c r="AH40" s="111"/>
      <c r="AI40" s="11"/>
      <c r="AJ40" s="111" t="e">
        <f t="shared" si="7"/>
        <v>#N/A</v>
      </c>
      <c r="AK40" s="111" t="e">
        <f t="shared" si="8"/>
        <v>#N/A</v>
      </c>
      <c r="AL40" s="11"/>
      <c r="AM40" s="129" t="s">
        <v>219</v>
      </c>
      <c r="AN40" s="129">
        <f>'Ａ（北東）'!$Z$4</f>
        <v>0.39</v>
      </c>
      <c r="AO40" s="129" t="s">
        <v>219</v>
      </c>
      <c r="AP40" s="129">
        <f>'Ａ（北東）'!$AB$4</f>
        <v>0.34799999999999998</v>
      </c>
      <c r="AQ40" s="11"/>
      <c r="AR40" s="11"/>
      <c r="AS40" s="11"/>
      <c r="AT40" s="11"/>
      <c r="AU40" s="11"/>
      <c r="AV40" s="11"/>
      <c r="AW40" s="11"/>
      <c r="AX40" s="11"/>
      <c r="AY40" s="11"/>
      <c r="AZ40" s="11"/>
      <c r="BA40" s="11"/>
      <c r="BB40" s="11"/>
      <c r="BC40" s="11"/>
      <c r="BD40" s="11"/>
    </row>
    <row r="41" spans="2:56" s="2" customFormat="1" ht="20.100000000000001" customHeight="1" x14ac:dyDescent="0.15">
      <c r="B41" s="295"/>
      <c r="C41" s="695"/>
      <c r="D41" s="695"/>
      <c r="E41" s="289"/>
      <c r="F41" s="664"/>
      <c r="G41" s="290"/>
      <c r="H41" s="289"/>
      <c r="I41" s="664"/>
      <c r="J41" s="290"/>
      <c r="K41" s="289"/>
      <c r="L41" s="664"/>
      <c r="M41" s="290"/>
      <c r="N41" s="245"/>
      <c r="O41" s="665"/>
      <c r="P41" s="246"/>
      <c r="Q41" s="366" t="str">
        <f t="shared" si="3"/>
        <v/>
      </c>
      <c r="R41" s="666"/>
      <c r="S41" s="367"/>
      <c r="T41" s="365" t="str">
        <f t="shared" si="4"/>
        <v/>
      </c>
      <c r="U41" s="365"/>
      <c r="V41" s="365"/>
      <c r="W41" s="365" t="str">
        <f t="shared" si="5"/>
        <v/>
      </c>
      <c r="X41" s="365"/>
      <c r="Y41" s="403"/>
      <c r="AE41" s="11" t="s">
        <v>275</v>
      </c>
      <c r="AF41" s="11"/>
      <c r="AG41" s="111" t="str">
        <f t="shared" si="6"/>
        <v>外気側以外</v>
      </c>
      <c r="AH41" s="111"/>
      <c r="AI41" s="11"/>
      <c r="AJ41" s="111" t="e">
        <f t="shared" si="7"/>
        <v>#N/A</v>
      </c>
      <c r="AK41" s="111" t="e">
        <f t="shared" si="8"/>
        <v>#N/A</v>
      </c>
      <c r="AL41" s="11"/>
      <c r="AM41" s="129" t="s">
        <v>220</v>
      </c>
      <c r="AN41" s="129">
        <f>'Ａ（北西）'!$Z$4</f>
        <v>0.44700000000000001</v>
      </c>
      <c r="AO41" s="129" t="s">
        <v>220</v>
      </c>
      <c r="AP41" s="129">
        <f>'Ａ（北西）'!$AB$4</f>
        <v>0.35099999999999998</v>
      </c>
      <c r="AQ41" s="11"/>
      <c r="AR41" s="11"/>
      <c r="AS41" s="11"/>
      <c r="AT41" s="11"/>
      <c r="AU41" s="11"/>
      <c r="AV41" s="11"/>
      <c r="AW41" s="11"/>
      <c r="AX41" s="11"/>
      <c r="AY41" s="11"/>
      <c r="AZ41" s="11"/>
      <c r="BA41" s="11"/>
      <c r="BB41" s="11"/>
      <c r="BC41" s="11"/>
      <c r="BD41" s="11"/>
    </row>
    <row r="42" spans="2:56" s="2" customFormat="1" ht="20.100000000000001" customHeight="1" x14ac:dyDescent="0.15">
      <c r="B42" s="295"/>
      <c r="C42" s="695"/>
      <c r="D42" s="695"/>
      <c r="E42" s="289"/>
      <c r="F42" s="664"/>
      <c r="G42" s="290"/>
      <c r="H42" s="289"/>
      <c r="I42" s="664"/>
      <c r="J42" s="290"/>
      <c r="K42" s="289"/>
      <c r="L42" s="664"/>
      <c r="M42" s="290"/>
      <c r="N42" s="245"/>
      <c r="O42" s="665"/>
      <c r="P42" s="246"/>
      <c r="Q42" s="366" t="str">
        <f t="shared" si="3"/>
        <v/>
      </c>
      <c r="R42" s="666"/>
      <c r="S42" s="367"/>
      <c r="T42" s="365" t="str">
        <f t="shared" si="4"/>
        <v/>
      </c>
      <c r="U42" s="365"/>
      <c r="V42" s="365"/>
      <c r="W42" s="365" t="str">
        <f t="shared" si="5"/>
        <v/>
      </c>
      <c r="X42" s="365"/>
      <c r="Y42" s="403"/>
      <c r="AE42" s="11" t="s">
        <v>276</v>
      </c>
      <c r="AF42" s="11"/>
      <c r="AG42" s="111" t="str">
        <f t="shared" si="6"/>
        <v>外気側以外</v>
      </c>
      <c r="AH42" s="111"/>
      <c r="AI42" s="11"/>
      <c r="AJ42" s="111" t="e">
        <f t="shared" si="7"/>
        <v>#N/A</v>
      </c>
      <c r="AK42" s="111" t="e">
        <f t="shared" si="8"/>
        <v>#N/A</v>
      </c>
      <c r="AL42" s="11"/>
      <c r="AM42" s="129" t="s">
        <v>97</v>
      </c>
      <c r="AN42" s="129">
        <f>'Ａ（南西）'!$Z$4</f>
        <v>0.55000000000000004</v>
      </c>
      <c r="AO42" s="129" t="s">
        <v>97</v>
      </c>
      <c r="AP42" s="129">
        <f>'Ａ（南西）'!$AB$4</f>
        <v>0.75</v>
      </c>
      <c r="AQ42" s="11"/>
      <c r="AR42" s="11"/>
      <c r="AS42" s="11"/>
      <c r="AT42" s="11"/>
      <c r="AU42" s="11"/>
      <c r="AV42" s="11"/>
      <c r="AW42" s="11"/>
      <c r="AX42" s="11"/>
      <c r="AY42" s="11"/>
      <c r="AZ42" s="11"/>
      <c r="BA42" s="11"/>
      <c r="BB42" s="11"/>
      <c r="BC42" s="11"/>
      <c r="BD42" s="11"/>
    </row>
    <row r="43" spans="2:56" s="2" customFormat="1" ht="20.100000000000001" customHeight="1" x14ac:dyDescent="0.15">
      <c r="B43" s="295"/>
      <c r="C43" s="695"/>
      <c r="D43" s="695"/>
      <c r="E43" s="289"/>
      <c r="F43" s="664"/>
      <c r="G43" s="290"/>
      <c r="H43" s="289"/>
      <c r="I43" s="664"/>
      <c r="J43" s="290"/>
      <c r="K43" s="289"/>
      <c r="L43" s="664"/>
      <c r="M43" s="290"/>
      <c r="N43" s="245"/>
      <c r="O43" s="665"/>
      <c r="P43" s="246"/>
      <c r="Q43" s="366" t="str">
        <f t="shared" si="3"/>
        <v/>
      </c>
      <c r="R43" s="666"/>
      <c r="S43" s="367"/>
      <c r="T43" s="365" t="str">
        <f t="shared" si="4"/>
        <v/>
      </c>
      <c r="U43" s="365"/>
      <c r="V43" s="365"/>
      <c r="W43" s="365" t="str">
        <f t="shared" si="5"/>
        <v/>
      </c>
      <c r="X43" s="365"/>
      <c r="Y43" s="403"/>
      <c r="AE43" s="11"/>
      <c r="AF43" s="11"/>
      <c r="AG43" s="111" t="str">
        <f t="shared" si="6"/>
        <v>外気側以外</v>
      </c>
      <c r="AH43" s="111"/>
      <c r="AI43" s="11"/>
      <c r="AJ43" s="111" t="e">
        <f t="shared" si="7"/>
        <v>#N/A</v>
      </c>
      <c r="AK43" s="111" t="e">
        <f t="shared" si="8"/>
        <v>#N/A</v>
      </c>
      <c r="AL43" s="11"/>
      <c r="AM43" s="11"/>
      <c r="AN43" s="11"/>
      <c r="AO43" s="11"/>
      <c r="AP43" s="11"/>
      <c r="AQ43" s="11"/>
      <c r="AR43" s="11"/>
      <c r="AS43" s="11"/>
      <c r="AT43" s="11"/>
      <c r="AU43" s="11"/>
      <c r="AV43" s="11"/>
      <c r="AW43" s="11"/>
      <c r="AX43" s="11"/>
      <c r="AY43" s="11"/>
      <c r="AZ43" s="11"/>
      <c r="BA43" s="11"/>
      <c r="BB43" s="11"/>
      <c r="BC43" s="11"/>
      <c r="BD43" s="11"/>
    </row>
    <row r="44" spans="2:56" s="2" customFormat="1" ht="20.100000000000001" customHeight="1" thickBot="1" x14ac:dyDescent="0.2">
      <c r="B44" s="325"/>
      <c r="C44" s="698"/>
      <c r="D44" s="698"/>
      <c r="E44" s="242"/>
      <c r="F44" s="244"/>
      <c r="G44" s="241"/>
      <c r="H44" s="242"/>
      <c r="I44" s="244"/>
      <c r="J44" s="241"/>
      <c r="K44" s="242"/>
      <c r="L44" s="244"/>
      <c r="M44" s="241"/>
      <c r="N44" s="357"/>
      <c r="O44" s="358"/>
      <c r="P44" s="359"/>
      <c r="Q44" s="545" t="str">
        <f t="shared" si="3"/>
        <v/>
      </c>
      <c r="R44" s="686"/>
      <c r="S44" s="546"/>
      <c r="T44" s="476" t="str">
        <f t="shared" si="4"/>
        <v/>
      </c>
      <c r="U44" s="476"/>
      <c r="V44" s="476"/>
      <c r="W44" s="699" t="str">
        <f t="shared" si="5"/>
        <v/>
      </c>
      <c r="X44" s="699"/>
      <c r="Y44" s="700"/>
      <c r="AE44" s="11"/>
      <c r="AF44" s="11"/>
      <c r="AG44" s="111" t="str">
        <f t="shared" si="6"/>
        <v>外気側以外</v>
      </c>
      <c r="AH44" s="111"/>
      <c r="AI44" s="11"/>
      <c r="AJ44" s="111" t="e">
        <f t="shared" si="7"/>
        <v>#N/A</v>
      </c>
      <c r="AK44" s="111" t="e">
        <f t="shared" si="8"/>
        <v>#N/A</v>
      </c>
      <c r="AL44" s="11"/>
      <c r="AM44" s="11"/>
      <c r="AN44" s="11"/>
      <c r="AO44" s="11"/>
      <c r="AP44" s="11"/>
      <c r="AQ44" s="11"/>
      <c r="AR44" s="11"/>
      <c r="AS44" s="11"/>
      <c r="AT44" s="11"/>
      <c r="AU44" s="11"/>
      <c r="AV44" s="11"/>
      <c r="AW44" s="11"/>
      <c r="AX44" s="11"/>
      <c r="AY44" s="11"/>
      <c r="AZ44" s="11"/>
      <c r="BA44" s="11"/>
      <c r="BB44" s="11"/>
      <c r="BC44" s="11"/>
      <c r="BD44" s="11"/>
    </row>
    <row r="45" spans="2:56" s="2" customFormat="1" ht="20.100000000000001" customHeight="1" thickBot="1" x14ac:dyDescent="0.2">
      <c r="B45" s="696" t="s">
        <v>267</v>
      </c>
      <c r="C45" s="697"/>
      <c r="D45" s="697"/>
      <c r="E45" s="697"/>
      <c r="F45" s="697"/>
      <c r="G45" s="697"/>
      <c r="H45" s="653">
        <f>SUM(H35:J44)</f>
        <v>0</v>
      </c>
      <c r="I45" s="653"/>
      <c r="J45" s="653"/>
      <c r="K45" s="688" t="s">
        <v>104</v>
      </c>
      <c r="L45" s="689"/>
      <c r="M45" s="689"/>
      <c r="N45" s="688" t="s">
        <v>104</v>
      </c>
      <c r="O45" s="689"/>
      <c r="P45" s="689"/>
      <c r="Q45" s="653">
        <f>SUM(Q35:S44)</f>
        <v>0</v>
      </c>
      <c r="R45" s="653"/>
      <c r="S45" s="653"/>
      <c r="T45" s="653">
        <f>IF(共通条件・結果!AA7="８地域","-",SUM(T35:V44))</f>
        <v>0</v>
      </c>
      <c r="U45" s="653"/>
      <c r="V45" s="653"/>
      <c r="W45" s="653">
        <f>SUM(W35:Y44)</f>
        <v>0</v>
      </c>
      <c r="X45" s="653"/>
      <c r="Y45" s="654"/>
      <c r="AE45" s="11"/>
      <c r="AF45" s="11"/>
      <c r="AG45" s="11"/>
      <c r="AH45" s="11"/>
      <c r="AI45" s="11"/>
      <c r="AJ45" s="111"/>
      <c r="AK45" s="111"/>
      <c r="AL45" s="11"/>
      <c r="AM45" s="11"/>
      <c r="AN45" s="11"/>
      <c r="AO45" s="11"/>
      <c r="AP45" s="11"/>
      <c r="AQ45" s="11"/>
      <c r="AR45" s="11"/>
      <c r="AS45" s="11"/>
      <c r="AT45" s="11"/>
      <c r="AU45" s="11"/>
      <c r="AV45" s="11"/>
      <c r="AW45" s="11"/>
      <c r="AX45" s="11"/>
      <c r="AY45" s="11"/>
      <c r="AZ45" s="11"/>
      <c r="BA45" s="11"/>
      <c r="BB45" s="11"/>
      <c r="BC45" s="11"/>
      <c r="BD45" s="11"/>
    </row>
    <row r="46" spans="2:56" s="2" customFormat="1" ht="20.100000000000001" customHeight="1" x14ac:dyDescent="0.15">
      <c r="B46" s="130"/>
      <c r="AE46" s="11"/>
      <c r="AF46" s="11"/>
      <c r="AG46" s="11"/>
      <c r="AH46" s="11"/>
      <c r="AI46" s="11"/>
      <c r="AJ46" s="111"/>
      <c r="AK46" s="111"/>
      <c r="AL46" s="11"/>
      <c r="AM46" s="11"/>
      <c r="AN46" s="11"/>
      <c r="AO46" s="11"/>
      <c r="AP46" s="11"/>
      <c r="AQ46" s="11"/>
      <c r="AR46" s="11"/>
      <c r="AS46" s="11"/>
      <c r="AT46" s="11"/>
      <c r="AU46" s="11"/>
      <c r="AV46" s="11"/>
      <c r="AW46" s="11"/>
      <c r="AX46" s="11"/>
      <c r="AY46" s="11"/>
      <c r="AZ46" s="11"/>
      <c r="BA46" s="11"/>
      <c r="BB46" s="11"/>
      <c r="BC46" s="11"/>
      <c r="BD46" s="11"/>
    </row>
    <row r="47" spans="2:56" s="2" customFormat="1" ht="20.100000000000001" customHeight="1" x14ac:dyDescent="0.15">
      <c r="AE47" s="11"/>
      <c r="AF47" s="11"/>
      <c r="AG47" s="11"/>
      <c r="AH47" s="11"/>
      <c r="AI47" s="11"/>
      <c r="AJ47" s="111"/>
      <c r="AK47" s="111"/>
      <c r="AL47" s="11"/>
      <c r="AM47" s="11"/>
      <c r="AN47" s="11"/>
      <c r="AO47" s="11"/>
      <c r="AP47" s="11"/>
      <c r="AQ47" s="11"/>
      <c r="AR47" s="11"/>
      <c r="AS47" s="11"/>
      <c r="AT47" s="11"/>
      <c r="AU47" s="11"/>
      <c r="AV47" s="11"/>
      <c r="AW47" s="11"/>
      <c r="AX47" s="11"/>
      <c r="AY47" s="11"/>
      <c r="AZ47" s="11"/>
      <c r="BA47" s="11"/>
      <c r="BB47" s="11"/>
      <c r="BC47" s="11"/>
      <c r="BD47" s="11"/>
    </row>
    <row r="48" spans="2:56" s="3" customFormat="1" ht="20.100000000000001" customHeight="1" x14ac:dyDescent="0.15">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row>
    <row r="49" spans="25:56" s="3" customFormat="1" ht="20.100000000000001" customHeight="1" x14ac:dyDescent="0.15">
      <c r="Y49" s="2"/>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row>
    <row r="50" spans="25:56" s="3" customFormat="1" ht="20.100000000000001" customHeight="1" x14ac:dyDescent="0.15">
      <c r="Y50" s="2"/>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row>
    <row r="51" spans="25:56" s="3" customFormat="1" ht="20.100000000000001" customHeight="1" x14ac:dyDescent="0.15">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row>
    <row r="52" spans="25:56" s="3" customFormat="1" ht="20.100000000000001" customHeight="1" x14ac:dyDescent="0.15">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row>
    <row r="53" spans="25:56" s="3" customFormat="1" ht="20.100000000000001" customHeight="1" x14ac:dyDescent="0.15">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row>
    <row r="54" spans="25:56" s="3" customFormat="1" ht="20.100000000000001" customHeight="1" x14ac:dyDescent="0.15">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row>
    <row r="55" spans="25:56" s="3" customFormat="1" ht="20.100000000000001" customHeight="1" x14ac:dyDescent="0.15">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row>
    <row r="56" spans="25:56" s="3" customFormat="1" ht="20.100000000000001" customHeight="1" x14ac:dyDescent="0.15">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row>
    <row r="57" spans="25:56" s="3" customFormat="1" ht="20.100000000000001" customHeight="1" x14ac:dyDescent="0.15">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row>
    <row r="58" spans="25:56" s="3" customFormat="1" ht="20.100000000000001" customHeight="1" x14ac:dyDescent="0.15">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row>
    <row r="59" spans="25:56" s="3" customFormat="1" ht="20.100000000000001" customHeight="1" x14ac:dyDescent="0.15">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row>
    <row r="60" spans="25:56" s="3" customFormat="1" ht="20.100000000000001" customHeight="1" x14ac:dyDescent="0.15">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row>
    <row r="61" spans="25:56" s="3" customFormat="1" ht="20.100000000000001" customHeight="1" x14ac:dyDescent="0.15">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row>
    <row r="62" spans="25:56" s="3" customFormat="1" ht="20.100000000000001" customHeight="1" x14ac:dyDescent="0.15">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row>
    <row r="63" spans="25:56" s="3" customFormat="1" ht="20.100000000000001" customHeight="1" x14ac:dyDescent="0.15">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row>
    <row r="64" spans="25:56" s="3" customFormat="1" ht="20.100000000000001" customHeight="1" x14ac:dyDescent="0.15">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row>
    <row r="65" spans="31:56" s="3" customFormat="1" ht="20.100000000000001" customHeight="1" x14ac:dyDescent="0.15">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row>
    <row r="66" spans="31:56" s="3" customFormat="1" ht="20.100000000000001" customHeight="1" x14ac:dyDescent="0.15">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row>
    <row r="67" spans="31:56" s="3" customFormat="1" ht="20.100000000000001" customHeight="1" x14ac:dyDescent="0.15">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row>
    <row r="68" spans="31:56" s="3" customFormat="1" ht="20.100000000000001" customHeight="1" x14ac:dyDescent="0.15">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row>
    <row r="69" spans="31:56" s="3" customFormat="1" ht="20.100000000000001" customHeight="1" x14ac:dyDescent="0.15">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row>
    <row r="70" spans="31:56" s="3" customFormat="1" ht="20.100000000000001" customHeight="1" x14ac:dyDescent="0.15">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row>
    <row r="71" spans="31:56" s="3" customFormat="1" ht="20.100000000000001" customHeight="1" x14ac:dyDescent="0.15">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row>
    <row r="72" spans="31:56" s="3" customFormat="1" ht="20.100000000000001" customHeight="1" x14ac:dyDescent="0.15">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row>
    <row r="73" spans="31:56" s="3" customFormat="1" ht="20.100000000000001" customHeight="1" x14ac:dyDescent="0.15">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row>
    <row r="74" spans="31:56" s="3" customFormat="1" ht="20.100000000000001" customHeight="1" x14ac:dyDescent="0.15">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row>
    <row r="75" spans="31:56" s="3" customFormat="1" ht="20.100000000000001" customHeight="1" x14ac:dyDescent="0.15">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row>
    <row r="76" spans="31:56" s="3" customFormat="1" ht="20.100000000000001" customHeight="1" x14ac:dyDescent="0.15">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row>
    <row r="77" spans="31:56" s="3" customFormat="1" ht="20.100000000000001" customHeight="1" x14ac:dyDescent="0.15">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row>
    <row r="78" spans="31:56" s="3" customFormat="1" ht="20.100000000000001" customHeight="1" x14ac:dyDescent="0.15">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row>
    <row r="79" spans="31:56" s="3" customFormat="1" ht="20.100000000000001" customHeight="1" x14ac:dyDescent="0.15">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row>
    <row r="80" spans="31:56" s="3" customFormat="1" ht="20.100000000000001" customHeight="1" x14ac:dyDescent="0.15">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row>
    <row r="81" spans="31:56" s="3" customFormat="1" ht="20.100000000000001" customHeight="1" x14ac:dyDescent="0.15">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row>
    <row r="82" spans="31:56" s="3" customFormat="1" ht="20.100000000000001" customHeight="1" x14ac:dyDescent="0.15">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row>
    <row r="83" spans="31:56" s="3" customFormat="1" ht="20.100000000000001" customHeight="1" x14ac:dyDescent="0.15">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row>
    <row r="84" spans="31:56" s="3" customFormat="1" ht="20.100000000000001" customHeight="1" x14ac:dyDescent="0.15">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row>
    <row r="85" spans="31:56" s="3" customFormat="1" ht="20.100000000000001" customHeight="1" x14ac:dyDescent="0.15">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row>
    <row r="86" spans="31:56" s="3" customFormat="1" ht="20.100000000000001" customHeight="1" x14ac:dyDescent="0.15">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row>
    <row r="87" spans="31:56" s="3" customFormat="1" ht="20.100000000000001" customHeight="1" x14ac:dyDescent="0.15">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row>
    <row r="88" spans="31:56" s="3" customFormat="1" ht="20.100000000000001" customHeight="1" x14ac:dyDescent="0.15">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row>
    <row r="89" spans="31:56" s="3" customFormat="1" ht="20.100000000000001" customHeight="1" x14ac:dyDescent="0.15">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row>
    <row r="90" spans="31:56" s="3" customFormat="1" ht="20.100000000000001" customHeight="1" x14ac:dyDescent="0.15">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row>
    <row r="91" spans="31:56" s="3" customFormat="1" ht="20.100000000000001" customHeight="1" x14ac:dyDescent="0.15">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row>
    <row r="92" spans="31:56" s="3" customFormat="1" ht="20.100000000000001" customHeight="1" x14ac:dyDescent="0.15">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row>
    <row r="93" spans="31:56" s="3" customFormat="1" ht="20.100000000000001" customHeight="1" x14ac:dyDescent="0.15">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row>
    <row r="94" spans="31:56" s="3" customFormat="1" ht="20.100000000000001" customHeight="1" x14ac:dyDescent="0.15">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row>
    <row r="95" spans="31:56" s="3" customFormat="1" ht="20.100000000000001" customHeight="1" x14ac:dyDescent="0.15">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row>
    <row r="96" spans="31:56" s="3" customFormat="1" ht="20.100000000000001" customHeight="1" x14ac:dyDescent="0.15">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row>
    <row r="97" spans="31:56" s="3" customFormat="1" ht="20.100000000000001" customHeight="1" x14ac:dyDescent="0.15">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row>
    <row r="98" spans="31:56" s="3" customFormat="1" ht="20.100000000000001" customHeight="1" x14ac:dyDescent="0.15">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row>
    <row r="99" spans="31:56" s="3" customFormat="1" ht="20.100000000000001" customHeight="1" x14ac:dyDescent="0.15">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row>
    <row r="100" spans="31:56" s="3" customFormat="1" ht="20.100000000000001" customHeight="1" x14ac:dyDescent="0.15">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row>
    <row r="101" spans="31:56" s="3" customFormat="1" ht="20.100000000000001" customHeight="1" x14ac:dyDescent="0.15">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row>
    <row r="102" spans="31:56" s="3" customFormat="1" ht="20.100000000000001" customHeight="1" x14ac:dyDescent="0.15">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row>
    <row r="103" spans="31:56" s="3" customFormat="1" ht="20.100000000000001" customHeight="1" x14ac:dyDescent="0.15">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row>
    <row r="104" spans="31:56" s="3" customFormat="1" ht="20.100000000000001" customHeight="1" x14ac:dyDescent="0.15">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row>
    <row r="105" spans="31:56" s="3" customFormat="1" ht="20.100000000000001" customHeight="1" x14ac:dyDescent="0.15">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row>
    <row r="106" spans="31:56" s="3" customFormat="1" ht="20.100000000000001" customHeight="1" x14ac:dyDescent="0.15">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row>
    <row r="107" spans="31:56" s="3" customFormat="1" ht="20.100000000000001" customHeight="1" x14ac:dyDescent="0.15">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row>
    <row r="108" spans="31:56" s="3" customFormat="1" ht="20.100000000000001" customHeight="1" x14ac:dyDescent="0.15">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row>
    <row r="109" spans="31:56" s="3" customFormat="1" ht="20.100000000000001" customHeight="1" x14ac:dyDescent="0.15">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row>
    <row r="110" spans="31:56" s="3" customFormat="1" ht="20.100000000000001" customHeight="1" x14ac:dyDescent="0.15">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row>
    <row r="111" spans="31:56" s="3" customFormat="1" ht="20.100000000000001" customHeight="1" x14ac:dyDescent="0.15">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row>
    <row r="112" spans="31:56" s="3" customFormat="1" ht="20.100000000000001" customHeight="1" x14ac:dyDescent="0.15">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row>
    <row r="113" spans="31:56" s="3" customFormat="1" ht="20.100000000000001" customHeight="1" x14ac:dyDescent="0.15">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row>
    <row r="114" spans="31:56" s="3" customFormat="1" ht="20.100000000000001" customHeight="1" x14ac:dyDescent="0.15">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row>
    <row r="115" spans="31:56" s="3" customFormat="1" ht="20.100000000000001" customHeight="1" x14ac:dyDescent="0.15">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row>
    <row r="116" spans="31:56" s="3" customFormat="1" ht="20.100000000000001" customHeight="1" x14ac:dyDescent="0.15">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row>
    <row r="117" spans="31:56" s="3" customFormat="1" ht="20.100000000000001" customHeight="1" x14ac:dyDescent="0.15">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row>
    <row r="118" spans="31:56" s="3" customFormat="1" ht="20.100000000000001" customHeight="1" x14ac:dyDescent="0.15">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row>
    <row r="119" spans="31:56" s="3" customFormat="1" ht="20.100000000000001" customHeight="1" x14ac:dyDescent="0.15">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row>
    <row r="120" spans="31:56" s="3" customFormat="1" ht="20.100000000000001" customHeight="1" x14ac:dyDescent="0.15">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row>
    <row r="121" spans="31:56" s="3" customFormat="1" ht="20.100000000000001" customHeight="1" x14ac:dyDescent="0.15">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row>
    <row r="122" spans="31:56" s="3" customFormat="1" ht="20.100000000000001" customHeight="1" x14ac:dyDescent="0.15">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row>
    <row r="123" spans="31:56" s="3" customFormat="1" ht="20.100000000000001" customHeight="1" x14ac:dyDescent="0.15">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row>
    <row r="124" spans="31:56" s="3" customFormat="1" ht="20.100000000000001" customHeight="1" x14ac:dyDescent="0.15">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row>
    <row r="125" spans="31:56" s="3" customFormat="1" ht="20.100000000000001" customHeight="1" x14ac:dyDescent="0.15">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row>
    <row r="126" spans="31:56" s="3" customFormat="1" ht="20.100000000000001" customHeight="1" x14ac:dyDescent="0.15">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row>
    <row r="127" spans="31:56" s="3" customFormat="1" ht="20.100000000000001" customHeight="1" x14ac:dyDescent="0.15">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row>
    <row r="128" spans="31:56" s="3" customFormat="1" ht="20.100000000000001" customHeight="1" x14ac:dyDescent="0.15">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row>
    <row r="129" spans="31:56" s="3" customFormat="1" ht="20.100000000000001" customHeight="1" x14ac:dyDescent="0.15">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row>
    <row r="130" spans="31:56" s="3" customFormat="1" ht="20.100000000000001" customHeight="1" x14ac:dyDescent="0.15">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row>
    <row r="131" spans="31:56" s="3" customFormat="1" ht="20.100000000000001" customHeight="1" x14ac:dyDescent="0.15">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row>
    <row r="132" spans="31:56" s="3" customFormat="1" ht="20.100000000000001" customHeight="1" x14ac:dyDescent="0.15">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row>
    <row r="133" spans="31:56" s="3" customFormat="1" ht="20.100000000000001" customHeight="1" x14ac:dyDescent="0.15">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row>
    <row r="134" spans="31:56" s="3" customFormat="1" ht="20.100000000000001" customHeight="1" x14ac:dyDescent="0.15">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row>
    <row r="135" spans="31:56" s="3" customFormat="1" ht="20.100000000000001" customHeight="1" x14ac:dyDescent="0.15">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row>
    <row r="136" spans="31:56" s="3" customFormat="1" ht="20.100000000000001" customHeight="1" x14ac:dyDescent="0.15">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row>
    <row r="137" spans="31:56" s="3" customFormat="1" ht="20.100000000000001" customHeight="1" x14ac:dyDescent="0.15">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row>
    <row r="138" spans="31:56" s="3" customFormat="1" ht="20.100000000000001" customHeight="1" x14ac:dyDescent="0.15">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row>
    <row r="139" spans="31:56" s="3" customFormat="1" ht="20.100000000000001" customHeight="1" x14ac:dyDescent="0.15">
      <c r="AE139" s="11"/>
      <c r="AF139" s="11"/>
      <c r="AG139" s="11"/>
      <c r="AH139" s="11"/>
      <c r="AI139" s="11"/>
      <c r="AJ139" s="11"/>
      <c r="AK139" s="11"/>
      <c r="AL139" s="11"/>
      <c r="AM139" s="118"/>
      <c r="AN139" s="118"/>
      <c r="AO139" s="118"/>
      <c r="AP139" s="118"/>
      <c r="AQ139" s="11"/>
      <c r="AR139" s="11"/>
      <c r="AS139" s="11"/>
      <c r="AT139" s="11"/>
      <c r="AU139" s="11"/>
      <c r="AV139" s="11"/>
      <c r="AW139" s="11"/>
      <c r="AX139" s="11"/>
      <c r="AY139" s="11"/>
      <c r="AZ139" s="11"/>
      <c r="BA139" s="11"/>
      <c r="BB139" s="11"/>
      <c r="BC139" s="11"/>
      <c r="BD139" s="11"/>
    </row>
    <row r="140" spans="31:56" s="3" customFormat="1" ht="20.100000000000001" customHeight="1" x14ac:dyDescent="0.15">
      <c r="AE140" s="11"/>
      <c r="AF140" s="11"/>
      <c r="AG140" s="11"/>
      <c r="AH140" s="11"/>
      <c r="AI140" s="11"/>
      <c r="AJ140" s="11"/>
      <c r="AK140" s="11"/>
      <c r="AL140" s="11"/>
      <c r="AM140" s="118"/>
      <c r="AN140" s="118"/>
      <c r="AO140" s="118"/>
      <c r="AP140" s="118"/>
      <c r="AQ140" s="11"/>
      <c r="AR140" s="11"/>
      <c r="AS140" s="11"/>
      <c r="AT140" s="11"/>
      <c r="AU140" s="11"/>
      <c r="AV140" s="11"/>
      <c r="AW140" s="11"/>
      <c r="AX140" s="11"/>
      <c r="AY140" s="11"/>
      <c r="AZ140" s="11"/>
      <c r="BA140" s="11"/>
      <c r="BB140" s="11"/>
      <c r="BC140" s="11"/>
      <c r="BD140" s="11"/>
    </row>
    <row r="141" spans="31:56" s="3" customFormat="1" ht="20.100000000000001" customHeight="1" x14ac:dyDescent="0.15">
      <c r="AE141" s="11"/>
      <c r="AF141" s="11"/>
      <c r="AG141" s="11"/>
      <c r="AH141" s="11"/>
      <c r="AI141" s="11"/>
      <c r="AJ141" s="11"/>
      <c r="AK141" s="11"/>
      <c r="AL141" s="11"/>
      <c r="AM141" s="118"/>
      <c r="AN141" s="118"/>
      <c r="AO141" s="118"/>
      <c r="AP141" s="118"/>
      <c r="AQ141" s="11"/>
      <c r="AR141" s="11"/>
      <c r="AS141" s="11"/>
      <c r="AT141" s="11"/>
      <c r="AU141" s="11"/>
      <c r="AV141" s="11"/>
      <c r="AW141" s="11"/>
      <c r="AX141" s="11"/>
      <c r="AY141" s="11"/>
      <c r="AZ141" s="11"/>
      <c r="BA141" s="11"/>
      <c r="BB141" s="11"/>
      <c r="BC141" s="11"/>
      <c r="BD141" s="11"/>
    </row>
    <row r="142" spans="31:56" s="3" customFormat="1" ht="20.100000000000001" customHeight="1" x14ac:dyDescent="0.15">
      <c r="AE142" s="11"/>
      <c r="AF142" s="11"/>
      <c r="AG142" s="11"/>
      <c r="AH142" s="11"/>
      <c r="AI142" s="11"/>
      <c r="AJ142" s="11"/>
      <c r="AK142" s="11"/>
      <c r="AL142" s="11"/>
      <c r="AM142" s="118"/>
      <c r="AN142" s="118"/>
      <c r="AO142" s="118"/>
      <c r="AP142" s="118"/>
      <c r="AQ142" s="11"/>
      <c r="AR142" s="11"/>
      <c r="AS142" s="11"/>
      <c r="AT142" s="11"/>
      <c r="AU142" s="11"/>
      <c r="AV142" s="11"/>
      <c r="AW142" s="11"/>
      <c r="AX142" s="11"/>
      <c r="AY142" s="11"/>
      <c r="AZ142" s="11"/>
      <c r="BA142" s="11"/>
      <c r="BB142" s="11"/>
      <c r="BC142" s="11"/>
      <c r="BD142" s="11"/>
    </row>
    <row r="143" spans="31:56" s="3" customFormat="1" ht="20.100000000000001" customHeight="1" x14ac:dyDescent="0.15">
      <c r="AE143" s="11"/>
      <c r="AF143" s="11"/>
      <c r="AG143" s="11"/>
      <c r="AH143" s="11"/>
      <c r="AI143" s="11"/>
      <c r="AJ143" s="11"/>
      <c r="AK143" s="11"/>
      <c r="AL143" s="11"/>
      <c r="AM143" s="118"/>
      <c r="AN143" s="118"/>
      <c r="AO143" s="118"/>
      <c r="AP143" s="118"/>
      <c r="AQ143" s="11"/>
      <c r="AR143" s="11"/>
      <c r="AS143" s="11"/>
      <c r="AT143" s="11"/>
      <c r="AU143" s="11"/>
      <c r="AV143" s="11"/>
      <c r="AW143" s="11"/>
      <c r="AX143" s="11"/>
      <c r="AY143" s="11"/>
      <c r="AZ143" s="11"/>
      <c r="BA143" s="11"/>
      <c r="BB143" s="11"/>
      <c r="BC143" s="11"/>
      <c r="BD143" s="11"/>
    </row>
    <row r="144" spans="31:56"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sheetData>
  <sheetProtection algorithmName="SHA-512" hashValue="ztQtao6CYwHk0a/Nv+5hNjgiF/OSCYEfjBCavEKPThPj9egUozaP9UAp9NwpCvQMCdJ0A9iLLL9NrWu01FJ49A==" saltValue="VakZ2RjvNS6cmCMhuoPTew==" spinCount="100000" sheet="1" selectLockedCells="1"/>
  <mergeCells count="187">
    <mergeCell ref="W45:Y45"/>
    <mergeCell ref="B45:G45"/>
    <mergeCell ref="H45:J45"/>
    <mergeCell ref="K45:M45"/>
    <mergeCell ref="N45:P45"/>
    <mergeCell ref="Q45:S45"/>
    <mergeCell ref="T45:V45"/>
    <mergeCell ref="T43:V43"/>
    <mergeCell ref="W43:Y43"/>
    <mergeCell ref="B44:D44"/>
    <mergeCell ref="E44:G44"/>
    <mergeCell ref="H44:J44"/>
    <mergeCell ref="K44:M44"/>
    <mergeCell ref="N44:P44"/>
    <mergeCell ref="Q44:S44"/>
    <mergeCell ref="T44:V44"/>
    <mergeCell ref="W44:Y44"/>
    <mergeCell ref="B43:D43"/>
    <mergeCell ref="E43:G43"/>
    <mergeCell ref="H43:J43"/>
    <mergeCell ref="K43:M43"/>
    <mergeCell ref="N43:P43"/>
    <mergeCell ref="Q43:S43"/>
    <mergeCell ref="T41:V41"/>
    <mergeCell ref="W41:Y41"/>
    <mergeCell ref="B42:D42"/>
    <mergeCell ref="E42:G42"/>
    <mergeCell ref="H42:J42"/>
    <mergeCell ref="K42:M42"/>
    <mergeCell ref="N42:P42"/>
    <mergeCell ref="Q42:S42"/>
    <mergeCell ref="T42:V42"/>
    <mergeCell ref="W42:Y42"/>
    <mergeCell ref="B41:D41"/>
    <mergeCell ref="E41:G41"/>
    <mergeCell ref="H41:J41"/>
    <mergeCell ref="K41:M41"/>
    <mergeCell ref="N41:P41"/>
    <mergeCell ref="Q41:S41"/>
    <mergeCell ref="T39:V39"/>
    <mergeCell ref="W39:Y39"/>
    <mergeCell ref="B40:D40"/>
    <mergeCell ref="E40:G40"/>
    <mergeCell ref="H40:J40"/>
    <mergeCell ref="K40:M40"/>
    <mergeCell ref="N40:P40"/>
    <mergeCell ref="Q40:S40"/>
    <mergeCell ref="T40:V40"/>
    <mergeCell ref="W40:Y40"/>
    <mergeCell ref="B39:D39"/>
    <mergeCell ref="E39:G39"/>
    <mergeCell ref="H39:J39"/>
    <mergeCell ref="K39:M39"/>
    <mergeCell ref="N39:P39"/>
    <mergeCell ref="Q39:S39"/>
    <mergeCell ref="B38:D38"/>
    <mergeCell ref="E38:G38"/>
    <mergeCell ref="H38:J38"/>
    <mergeCell ref="K38:M38"/>
    <mergeCell ref="N38:P38"/>
    <mergeCell ref="Q38:S38"/>
    <mergeCell ref="T38:V38"/>
    <mergeCell ref="W38:Y38"/>
    <mergeCell ref="B37:D37"/>
    <mergeCell ref="E37:G37"/>
    <mergeCell ref="H37:J37"/>
    <mergeCell ref="K37:M37"/>
    <mergeCell ref="N37:P37"/>
    <mergeCell ref="Q37:S37"/>
    <mergeCell ref="B36:D36"/>
    <mergeCell ref="E36:G36"/>
    <mergeCell ref="H36:J36"/>
    <mergeCell ref="K36:M36"/>
    <mergeCell ref="N36:P36"/>
    <mergeCell ref="Q36:S36"/>
    <mergeCell ref="T36:V36"/>
    <mergeCell ref="W36:Y36"/>
    <mergeCell ref="T37:V37"/>
    <mergeCell ref="W37:Y37"/>
    <mergeCell ref="T33:V34"/>
    <mergeCell ref="W33:Y34"/>
    <mergeCell ref="AJ33:AK33"/>
    <mergeCell ref="B35:D35"/>
    <mergeCell ref="E35:G35"/>
    <mergeCell ref="H35:J35"/>
    <mergeCell ref="K35:M35"/>
    <mergeCell ref="N35:P35"/>
    <mergeCell ref="Q35:S35"/>
    <mergeCell ref="T35:V35"/>
    <mergeCell ref="W35:Y35"/>
    <mergeCell ref="B30:G30"/>
    <mergeCell ref="H30:J30"/>
    <mergeCell ref="K30:M30"/>
    <mergeCell ref="N30:P30"/>
    <mergeCell ref="Q30:S30"/>
    <mergeCell ref="B33:D34"/>
    <mergeCell ref="E33:G34"/>
    <mergeCell ref="H33:J34"/>
    <mergeCell ref="K33:M34"/>
    <mergeCell ref="N33:P34"/>
    <mergeCell ref="Q33:S34"/>
    <mergeCell ref="B29:C29"/>
    <mergeCell ref="D29:G29"/>
    <mergeCell ref="H29:J29"/>
    <mergeCell ref="K29:M29"/>
    <mergeCell ref="N29:P29"/>
    <mergeCell ref="Q29:S29"/>
    <mergeCell ref="B28:C28"/>
    <mergeCell ref="D28:G28"/>
    <mergeCell ref="H28:J28"/>
    <mergeCell ref="K28:M28"/>
    <mergeCell ref="N28:P28"/>
    <mergeCell ref="Q28:S28"/>
    <mergeCell ref="B27:C27"/>
    <mergeCell ref="D27:G27"/>
    <mergeCell ref="H27:J27"/>
    <mergeCell ref="K27:M27"/>
    <mergeCell ref="N27:P27"/>
    <mergeCell ref="Q27:S27"/>
    <mergeCell ref="B26:C26"/>
    <mergeCell ref="D26:G26"/>
    <mergeCell ref="H26:J26"/>
    <mergeCell ref="K26:M26"/>
    <mergeCell ref="N26:P26"/>
    <mergeCell ref="Q26:S26"/>
    <mergeCell ref="B25:C25"/>
    <mergeCell ref="D25:G25"/>
    <mergeCell ref="H25:J25"/>
    <mergeCell ref="K25:M25"/>
    <mergeCell ref="N25:P25"/>
    <mergeCell ref="Q25:S25"/>
    <mergeCell ref="B24:C24"/>
    <mergeCell ref="D24:G24"/>
    <mergeCell ref="H24:J24"/>
    <mergeCell ref="K24:M24"/>
    <mergeCell ref="N24:P24"/>
    <mergeCell ref="Q24:S24"/>
    <mergeCell ref="B23:C23"/>
    <mergeCell ref="D23:G23"/>
    <mergeCell ref="H23:J23"/>
    <mergeCell ref="K23:M23"/>
    <mergeCell ref="N23:P23"/>
    <mergeCell ref="Q23:S23"/>
    <mergeCell ref="N20:P21"/>
    <mergeCell ref="Q20:S21"/>
    <mergeCell ref="B22:C22"/>
    <mergeCell ref="D22:G22"/>
    <mergeCell ref="H22:J22"/>
    <mergeCell ref="K22:M22"/>
    <mergeCell ref="N22:P22"/>
    <mergeCell ref="Q22:S22"/>
    <mergeCell ref="B15:G15"/>
    <mergeCell ref="H15:I15"/>
    <mergeCell ref="B20:C21"/>
    <mergeCell ref="D20:G21"/>
    <mergeCell ref="H20:J21"/>
    <mergeCell ref="K20:M21"/>
    <mergeCell ref="B13:C13"/>
    <mergeCell ref="D13:G13"/>
    <mergeCell ref="H13:I13"/>
    <mergeCell ref="B14:C14"/>
    <mergeCell ref="D14:G14"/>
    <mergeCell ref="H14:I14"/>
    <mergeCell ref="B11:C11"/>
    <mergeCell ref="D11:G11"/>
    <mergeCell ref="H11:I11"/>
    <mergeCell ref="B12:C12"/>
    <mergeCell ref="D12:G12"/>
    <mergeCell ref="H12:I12"/>
    <mergeCell ref="B9:C9"/>
    <mergeCell ref="D9:G9"/>
    <mergeCell ref="H9:I9"/>
    <mergeCell ref="B10:C10"/>
    <mergeCell ref="D10:G10"/>
    <mergeCell ref="H10:I10"/>
    <mergeCell ref="B7:C7"/>
    <mergeCell ref="D7:G7"/>
    <mergeCell ref="H7:I7"/>
    <mergeCell ref="B8:C8"/>
    <mergeCell ref="D8:G8"/>
    <mergeCell ref="H8:I8"/>
    <mergeCell ref="B2:AC2"/>
    <mergeCell ref="K3:N3"/>
    <mergeCell ref="P3:S3"/>
    <mergeCell ref="B5:C6"/>
    <mergeCell ref="D5:G6"/>
    <mergeCell ref="H5:I6"/>
  </mergeCells>
  <phoneticPr fontId="4"/>
  <conditionalFormatting sqref="B22:G29">
    <cfRule type="expression" dxfId="10" priority="34">
      <formula>$AH$3&lt;&gt;2</formula>
    </cfRule>
  </conditionalFormatting>
  <conditionalFormatting sqref="B7:I14">
    <cfRule type="expression" dxfId="9" priority="279" stopIfTrue="1">
      <formula>$AH$3&lt;&gt;2</formula>
    </cfRule>
  </conditionalFormatting>
  <conditionalFormatting sqref="B35:P44">
    <cfRule type="expression" dxfId="8" priority="57" stopIfTrue="1">
      <formula>$AH$3&lt;&gt;2</formula>
    </cfRule>
  </conditionalFormatting>
  <conditionalFormatting sqref="H30:J30">
    <cfRule type="expression" dxfId="7" priority="32">
      <formula>$AH$3&lt;&gt;2</formula>
    </cfRule>
  </conditionalFormatting>
  <conditionalFormatting sqref="H45:J45">
    <cfRule type="expression" dxfId="6" priority="348">
      <formula>$AH$3&lt;&gt;2</formula>
    </cfRule>
  </conditionalFormatting>
  <conditionalFormatting sqref="H22:P29">
    <cfRule type="expression" dxfId="5" priority="207" stopIfTrue="1">
      <formula>$AH$3&lt;&gt;2</formula>
    </cfRule>
  </conditionalFormatting>
  <conditionalFormatting sqref="J3">
    <cfRule type="expression" dxfId="4" priority="344" stopIfTrue="1">
      <formula>$AH$3&lt;&gt;2</formula>
    </cfRule>
  </conditionalFormatting>
  <conditionalFormatting sqref="O3">
    <cfRule type="expression" dxfId="3" priority="343" stopIfTrue="1">
      <formula>$AH$3&lt;&gt;2</formula>
    </cfRule>
  </conditionalFormatting>
  <conditionalFormatting sqref="Q22:S30">
    <cfRule type="expression" dxfId="2" priority="31">
      <formula>$AH$3&lt;&gt;2</formula>
    </cfRule>
  </conditionalFormatting>
  <conditionalFormatting sqref="Q35:Y45">
    <cfRule type="expression" dxfId="1" priority="1">
      <formula>$AH$3&lt;&gt;2</formula>
    </cfRule>
  </conditionalFormatting>
  <dataValidations count="3">
    <dataValidation type="list" allowBlank="1" showInputMessage="1" showErrorMessage="1" sqref="E35:G44" xr:uid="{00000000-0002-0000-0B00-000000000000}">
      <formula1>方位</formula1>
    </dataValidation>
    <dataValidation type="list" allowBlank="1" showInputMessage="1" showErrorMessage="1" sqref="D7:G14" xr:uid="{00000000-0002-0000-0B00-000001000000}">
      <formula1>"基礎断熱,玄関土間,勝手口土間,その他"</formula1>
    </dataValidation>
    <dataValidation type="list" allowBlank="1" showInputMessage="1" showErrorMessage="1" sqref="N22:P29 N35:P44" xr:uid="{00000000-0002-0000-0B00-000002000000}">
      <formula1>$AG$22:$AG$26</formula1>
    </dataValidation>
  </dataValidations>
  <pageMargins left="0.70866141732283472" right="0.70866141732283472" top="0.74803149606299213" bottom="0.74803149606299213" header="0.31496062992125984" footer="0.31496062992125984"/>
  <pageSetup paperSize="9" scale="81"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744" r:id="rId4" name="Option Button 24">
              <controlPr defaultSize="0" autoFill="0" autoLine="0" autoPict="0">
                <anchor moveWithCells="1">
                  <from>
                    <xdr:col>9</xdr:col>
                    <xdr:colOff>28575</xdr:colOff>
                    <xdr:row>2</xdr:row>
                    <xdr:rowOff>47625</xdr:rowOff>
                  </from>
                  <to>
                    <xdr:col>13</xdr:col>
                    <xdr:colOff>219075</xdr:colOff>
                    <xdr:row>2</xdr:row>
                    <xdr:rowOff>285750</xdr:rowOff>
                  </to>
                </anchor>
              </controlPr>
            </control>
          </mc:Choice>
        </mc:AlternateContent>
        <mc:AlternateContent xmlns:mc="http://schemas.openxmlformats.org/markup-compatibility/2006">
          <mc:Choice Requires="x14">
            <control shapeId="158745" r:id="rId5" name="Option Button 25">
              <controlPr defaultSize="0" autoFill="0" autoLine="0" autoPict="0">
                <anchor moveWithCells="1">
                  <from>
                    <xdr:col>14</xdr:col>
                    <xdr:colOff>28575</xdr:colOff>
                    <xdr:row>2</xdr:row>
                    <xdr:rowOff>57150</xdr:rowOff>
                  </from>
                  <to>
                    <xdr:col>18</xdr:col>
                    <xdr:colOff>219075</xdr:colOff>
                    <xdr:row>2</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8" tint="0.79998168889431442"/>
  </sheetPr>
  <dimension ref="A1:AK16"/>
  <sheetViews>
    <sheetView workbookViewId="0">
      <selection sqref="A1:AC1"/>
    </sheetView>
  </sheetViews>
  <sheetFormatPr defaultColWidth="9" defaultRowHeight="13.5" x14ac:dyDescent="0.15"/>
  <cols>
    <col min="1" max="26" width="4.125" style="112" customWidth="1"/>
    <col min="27" max="29" width="2.5" style="112" customWidth="1"/>
    <col min="30" max="30" width="9" style="112" customWidth="1"/>
    <col min="31" max="31" width="7.75" style="112" hidden="1" customWidth="1"/>
    <col min="32" max="32" width="5" style="112" hidden="1" customWidth="1"/>
    <col min="33" max="33" width="7.125" style="112" hidden="1" customWidth="1"/>
    <col min="34" max="34" width="5" style="112" hidden="1" customWidth="1"/>
    <col min="35" max="36" width="6" style="112" hidden="1" customWidth="1"/>
    <col min="37" max="37" width="9" style="112" customWidth="1"/>
    <col min="38" max="16384" width="9" style="112"/>
  </cols>
  <sheetData>
    <row r="1" spans="1:37" ht="27.75" customHeight="1" x14ac:dyDescent="0.15">
      <c r="A1" s="730" t="s">
        <v>322</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row>
    <row r="2" spans="1:37" ht="81" customHeight="1" x14ac:dyDescent="0.15">
      <c r="A2" s="731" t="s">
        <v>340</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H2" s="119" t="s">
        <v>376</v>
      </c>
    </row>
    <row r="3" spans="1:37" ht="26.25" customHeight="1" thickBot="1" x14ac:dyDescent="0.2">
      <c r="A3" s="113"/>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03">
        <f>共通条件・結果!AH3</f>
        <v>1</v>
      </c>
      <c r="AI3" s="114"/>
      <c r="AJ3" s="114"/>
      <c r="AK3" s="114"/>
    </row>
    <row r="4" spans="1:37" ht="26.25" customHeight="1" x14ac:dyDescent="0.15">
      <c r="A4" s="733" t="s">
        <v>26</v>
      </c>
      <c r="B4" s="725"/>
      <c r="C4" s="725" t="s">
        <v>27</v>
      </c>
      <c r="D4" s="725"/>
      <c r="E4" s="725"/>
      <c r="F4" s="725"/>
      <c r="G4" s="724" t="s">
        <v>323</v>
      </c>
      <c r="H4" s="725"/>
      <c r="I4" s="724" t="s">
        <v>324</v>
      </c>
      <c r="J4" s="725"/>
      <c r="K4" s="724" t="s">
        <v>325</v>
      </c>
      <c r="L4" s="725"/>
      <c r="M4" s="724" t="s">
        <v>326</v>
      </c>
      <c r="N4" s="725"/>
      <c r="O4" s="724" t="s">
        <v>327</v>
      </c>
      <c r="P4" s="724"/>
      <c r="Q4" s="724" t="s">
        <v>328</v>
      </c>
      <c r="R4" s="724"/>
      <c r="S4" s="724" t="s">
        <v>329</v>
      </c>
      <c r="T4" s="725"/>
      <c r="U4" s="724" t="s">
        <v>330</v>
      </c>
      <c r="V4" s="725"/>
      <c r="W4" s="724" t="s">
        <v>331</v>
      </c>
      <c r="X4" s="725"/>
      <c r="Y4" s="724" t="s">
        <v>332</v>
      </c>
      <c r="Z4" s="725"/>
      <c r="AA4" s="724" t="s">
        <v>411</v>
      </c>
      <c r="AB4" s="725"/>
      <c r="AC4" s="727"/>
      <c r="AD4" s="114"/>
      <c r="AE4" s="114"/>
      <c r="AF4" s="729"/>
      <c r="AG4" s="729"/>
      <c r="AH4" s="729"/>
      <c r="AI4" s="729"/>
      <c r="AJ4" s="729"/>
      <c r="AK4" s="114"/>
    </row>
    <row r="5" spans="1:37" ht="26.25" customHeight="1" thickBot="1" x14ac:dyDescent="0.2">
      <c r="A5" s="734"/>
      <c r="B5" s="726"/>
      <c r="C5" s="726"/>
      <c r="D5" s="726"/>
      <c r="E5" s="726"/>
      <c r="F5" s="726"/>
      <c r="G5" s="726"/>
      <c r="H5" s="726"/>
      <c r="I5" s="726"/>
      <c r="J5" s="726"/>
      <c r="K5" s="726"/>
      <c r="L5" s="726"/>
      <c r="M5" s="726"/>
      <c r="N5" s="726"/>
      <c r="O5" s="735"/>
      <c r="P5" s="735"/>
      <c r="Q5" s="735"/>
      <c r="R5" s="735"/>
      <c r="S5" s="726"/>
      <c r="T5" s="726"/>
      <c r="U5" s="726"/>
      <c r="V5" s="726"/>
      <c r="W5" s="726"/>
      <c r="X5" s="726"/>
      <c r="Y5" s="726"/>
      <c r="Z5" s="726"/>
      <c r="AA5" s="726"/>
      <c r="AB5" s="726"/>
      <c r="AC5" s="728"/>
      <c r="AD5" s="114"/>
      <c r="AE5" s="115" t="s">
        <v>333</v>
      </c>
      <c r="AF5" s="116" t="s">
        <v>334</v>
      </c>
      <c r="AG5" s="117" t="s">
        <v>335</v>
      </c>
      <c r="AH5" s="116" t="s">
        <v>336</v>
      </c>
      <c r="AI5" s="116" t="s">
        <v>337</v>
      </c>
      <c r="AJ5" s="116" t="s">
        <v>338</v>
      </c>
      <c r="AK5" s="114"/>
    </row>
    <row r="6" spans="1:37" ht="26.25" customHeight="1" x14ac:dyDescent="0.15">
      <c r="A6" s="721"/>
      <c r="B6" s="722"/>
      <c r="C6" s="723"/>
      <c r="D6" s="723"/>
      <c r="E6" s="723"/>
      <c r="F6" s="723"/>
      <c r="G6" s="719"/>
      <c r="H6" s="719"/>
      <c r="I6" s="719"/>
      <c r="J6" s="719"/>
      <c r="K6" s="719"/>
      <c r="L6" s="719"/>
      <c r="M6" s="719"/>
      <c r="N6" s="719"/>
      <c r="O6" s="719"/>
      <c r="P6" s="719"/>
      <c r="Q6" s="719"/>
      <c r="R6" s="719"/>
      <c r="S6" s="719"/>
      <c r="T6" s="719"/>
      <c r="U6" s="719"/>
      <c r="V6" s="719"/>
      <c r="W6" s="719"/>
      <c r="X6" s="719"/>
      <c r="Y6" s="720" t="str">
        <f>IF(Q6="","",IF(-1&lt;=Q6,"(1)",IF(G6+M6&gt;=3,"(3)1","(3)2")))</f>
        <v/>
      </c>
      <c r="Z6" s="720"/>
      <c r="AA6" s="717" t="str">
        <f>IF(Q6="","",IF(IF(Y6="(1)",AF6,AH6)&lt;0.05,"0.05",IF(Y6="(1)",AF6,AH6)))</f>
        <v/>
      </c>
      <c r="AB6" s="717"/>
      <c r="AC6" s="718"/>
      <c r="AD6" s="114"/>
      <c r="AE6" s="115">
        <f>IF(O6&gt;0.4,"0.4",O6)</f>
        <v>0</v>
      </c>
      <c r="AF6" s="115">
        <f>1.8-1.36*(G6*(AE6+S6)+M6*(AE6-Q6))^0.15-0.01*(6.14-G6)*((I6+0.5*K6)*AG6)^0.5</f>
        <v>1.8</v>
      </c>
      <c r="AG6" s="115">
        <f>IF(MAX(U6,W6)&lt;=0.9,MAX(U6,W6),"0.9")</f>
        <v>0</v>
      </c>
      <c r="AH6" s="115">
        <f>IF((G6+M6)&gt;=3,AI6,AJ6)</f>
        <v>1.8</v>
      </c>
      <c r="AI6" s="115">
        <f>1.8-1.47*(G6+M6)^0.08</f>
        <v>1.8</v>
      </c>
      <c r="AJ6" s="115">
        <f>1.8-1.36*(G6+M6)^0.15</f>
        <v>1.8</v>
      </c>
      <c r="AK6" s="114"/>
    </row>
    <row r="7" spans="1:37" ht="26.25" customHeight="1" x14ac:dyDescent="0.15">
      <c r="A7" s="714"/>
      <c r="B7" s="715"/>
      <c r="C7" s="716"/>
      <c r="D7" s="716"/>
      <c r="E7" s="716"/>
      <c r="F7" s="716"/>
      <c r="G7" s="711"/>
      <c r="H7" s="711"/>
      <c r="I7" s="711"/>
      <c r="J7" s="711"/>
      <c r="K7" s="711"/>
      <c r="L7" s="711"/>
      <c r="M7" s="711"/>
      <c r="N7" s="711"/>
      <c r="O7" s="711"/>
      <c r="P7" s="711"/>
      <c r="Q7" s="711"/>
      <c r="R7" s="711"/>
      <c r="S7" s="711"/>
      <c r="T7" s="711"/>
      <c r="U7" s="711"/>
      <c r="V7" s="711"/>
      <c r="W7" s="711"/>
      <c r="X7" s="711"/>
      <c r="Y7" s="712" t="str">
        <f>IF(Q7="","",IF(-1&lt;=Q7,"(1)",IF(G7+M7&gt;=3,"(3)1","(3)2")))</f>
        <v/>
      </c>
      <c r="Z7" s="713"/>
      <c r="AA7" s="706" t="str">
        <f t="shared" ref="AA7:AA13" si="0">IF(Q7="","",IF(IF(Y7="(1)",AF7,AH7)&lt;0.05,"0.05",IF(Y7="(1)",AF7,AH7)))</f>
        <v/>
      </c>
      <c r="AB7" s="706"/>
      <c r="AC7" s="707"/>
      <c r="AD7" s="114"/>
      <c r="AE7" s="115">
        <f>IF(O7&gt;0.4,"0.4",O7)</f>
        <v>0</v>
      </c>
      <c r="AF7" s="115">
        <f>1.8-1.36*(G7*(AE7+S7)+M7*(AE7-Q7))^0.15-0.01*(6.14-G7)*((I7+0.5*K7)*AG7)^0.5</f>
        <v>1.8</v>
      </c>
      <c r="AG7" s="115">
        <f>IF(MAX(U7,W7)&lt;=0.9,MAX(U7,W7),"0.9")</f>
        <v>0</v>
      </c>
      <c r="AH7" s="115">
        <f>IF((G7+M7)&gt;=3,AI7,AJ7)</f>
        <v>1.8</v>
      </c>
      <c r="AI7" s="115">
        <f>1.8-1.47*(G7+M7)^0.08</f>
        <v>1.8</v>
      </c>
      <c r="AJ7" s="115">
        <f>1.8-1.36*(G7+M7)^0.15</f>
        <v>1.8</v>
      </c>
      <c r="AK7" s="114"/>
    </row>
    <row r="8" spans="1:37" ht="26.25" customHeight="1" x14ac:dyDescent="0.15">
      <c r="A8" s="714"/>
      <c r="B8" s="715"/>
      <c r="C8" s="716"/>
      <c r="D8" s="716"/>
      <c r="E8" s="716"/>
      <c r="F8" s="716"/>
      <c r="G8" s="711"/>
      <c r="H8" s="711"/>
      <c r="I8" s="711"/>
      <c r="J8" s="711"/>
      <c r="K8" s="711"/>
      <c r="L8" s="711"/>
      <c r="M8" s="711"/>
      <c r="N8" s="711"/>
      <c r="O8" s="711"/>
      <c r="P8" s="711"/>
      <c r="Q8" s="711"/>
      <c r="R8" s="711"/>
      <c r="S8" s="711"/>
      <c r="T8" s="711"/>
      <c r="U8" s="711"/>
      <c r="V8" s="711"/>
      <c r="W8" s="711"/>
      <c r="X8" s="711"/>
      <c r="Y8" s="712" t="str">
        <f t="shared" ref="Y8:Y13" si="1">IF(Q8="","",IF(-1&lt;=Q8,"(1)",IF(G8+M8&gt;=3,"(3)1","(3)2")))</f>
        <v/>
      </c>
      <c r="Z8" s="713"/>
      <c r="AA8" s="706" t="str">
        <f t="shared" si="0"/>
        <v/>
      </c>
      <c r="AB8" s="706"/>
      <c r="AC8" s="707"/>
      <c r="AD8" s="114"/>
      <c r="AE8" s="115">
        <f>IF(O8&gt;0.4,"0.4",O8)</f>
        <v>0</v>
      </c>
      <c r="AF8" s="115">
        <f>1.8-1.36*(G8*(AE8+S8)+M8*(AE8-Q8))^0.15-0.01*(6.14-G8)*((I8+0.5*K8)*AG8)^0.5</f>
        <v>1.8</v>
      </c>
      <c r="AG8" s="115">
        <f>IF(MAX(U8,W8)&lt;=0.9,MAX(U8,W8),"0.9")</f>
        <v>0</v>
      </c>
      <c r="AH8" s="115">
        <f>IF((G8+M8)&gt;=3,AI8,AJ8)</f>
        <v>1.8</v>
      </c>
      <c r="AI8" s="115">
        <f>1.8-1.47*(G8+M8)^0.08</f>
        <v>1.8</v>
      </c>
      <c r="AJ8" s="115">
        <f>1.8-1.36*(G8+M8)^0.15</f>
        <v>1.8</v>
      </c>
      <c r="AK8" s="114"/>
    </row>
    <row r="9" spans="1:37" ht="26.25" customHeight="1" x14ac:dyDescent="0.15">
      <c r="A9" s="714"/>
      <c r="B9" s="715"/>
      <c r="C9" s="716"/>
      <c r="D9" s="716"/>
      <c r="E9" s="716"/>
      <c r="F9" s="716"/>
      <c r="G9" s="711"/>
      <c r="H9" s="711"/>
      <c r="I9" s="711"/>
      <c r="J9" s="711"/>
      <c r="K9" s="711"/>
      <c r="L9" s="711"/>
      <c r="M9" s="711"/>
      <c r="N9" s="711"/>
      <c r="O9" s="711"/>
      <c r="P9" s="711"/>
      <c r="Q9" s="711"/>
      <c r="R9" s="711"/>
      <c r="S9" s="711"/>
      <c r="T9" s="711"/>
      <c r="U9" s="711"/>
      <c r="V9" s="711"/>
      <c r="W9" s="711"/>
      <c r="X9" s="711"/>
      <c r="Y9" s="712" t="str">
        <f t="shared" si="1"/>
        <v/>
      </c>
      <c r="Z9" s="713"/>
      <c r="AA9" s="706" t="str">
        <f t="shared" si="0"/>
        <v/>
      </c>
      <c r="AB9" s="706"/>
      <c r="AC9" s="707"/>
      <c r="AD9" s="114"/>
      <c r="AE9" s="115">
        <f t="shared" ref="AE9:AE11" si="2">IF(O9&gt;0.4,"0.4",O9)</f>
        <v>0</v>
      </c>
      <c r="AF9" s="115">
        <f t="shared" ref="AF9:AF11" si="3">1.8-1.36*(G9*(AE9+S9)+M9*(AE9-Q9))^0.15-0.01*(6.14-G9)*((I9+0.5*K9)*AG9)^0.5</f>
        <v>1.8</v>
      </c>
      <c r="AG9" s="115">
        <f t="shared" ref="AG9:AG11" si="4">IF(MAX(U9,W9)&lt;=0.9,MAX(U9,W9),"0.9")</f>
        <v>0</v>
      </c>
      <c r="AH9" s="115">
        <f t="shared" ref="AH9:AH11" si="5">IF((G9+M9)&gt;=3,AI9,AJ9)</f>
        <v>1.8</v>
      </c>
      <c r="AI9" s="115">
        <f t="shared" ref="AI9:AI11" si="6">1.8-1.47*(G9+M9)^0.08</f>
        <v>1.8</v>
      </c>
      <c r="AJ9" s="115">
        <f t="shared" ref="AJ9:AJ11" si="7">1.8-1.36*(G9+M9)^0.15</f>
        <v>1.8</v>
      </c>
      <c r="AK9" s="114"/>
    </row>
    <row r="10" spans="1:37" ht="26.25" customHeight="1" x14ac:dyDescent="0.15">
      <c r="A10" s="714"/>
      <c r="B10" s="715"/>
      <c r="C10" s="716"/>
      <c r="D10" s="716"/>
      <c r="E10" s="716"/>
      <c r="F10" s="716"/>
      <c r="G10" s="711"/>
      <c r="H10" s="711"/>
      <c r="I10" s="711"/>
      <c r="J10" s="711"/>
      <c r="K10" s="711"/>
      <c r="L10" s="711"/>
      <c r="M10" s="711"/>
      <c r="N10" s="711"/>
      <c r="O10" s="711"/>
      <c r="P10" s="711"/>
      <c r="Q10" s="711"/>
      <c r="R10" s="711"/>
      <c r="S10" s="711"/>
      <c r="T10" s="711"/>
      <c r="U10" s="711"/>
      <c r="V10" s="711"/>
      <c r="W10" s="711"/>
      <c r="X10" s="711"/>
      <c r="Y10" s="712" t="str">
        <f t="shared" si="1"/>
        <v/>
      </c>
      <c r="Z10" s="713"/>
      <c r="AA10" s="706" t="str">
        <f t="shared" si="0"/>
        <v/>
      </c>
      <c r="AB10" s="706"/>
      <c r="AC10" s="707"/>
      <c r="AD10" s="114"/>
      <c r="AE10" s="115">
        <f t="shared" si="2"/>
        <v>0</v>
      </c>
      <c r="AF10" s="115">
        <f t="shared" si="3"/>
        <v>1.8</v>
      </c>
      <c r="AG10" s="115">
        <f t="shared" si="4"/>
        <v>0</v>
      </c>
      <c r="AH10" s="115">
        <f t="shared" si="5"/>
        <v>1.8</v>
      </c>
      <c r="AI10" s="115">
        <f t="shared" si="6"/>
        <v>1.8</v>
      </c>
      <c r="AJ10" s="115">
        <f t="shared" si="7"/>
        <v>1.8</v>
      </c>
      <c r="AK10" s="114"/>
    </row>
    <row r="11" spans="1:37" ht="26.25" customHeight="1" x14ac:dyDescent="0.15">
      <c r="A11" s="714"/>
      <c r="B11" s="715"/>
      <c r="C11" s="716"/>
      <c r="D11" s="716"/>
      <c r="E11" s="716"/>
      <c r="F11" s="716"/>
      <c r="G11" s="711"/>
      <c r="H11" s="711"/>
      <c r="I11" s="711"/>
      <c r="J11" s="711"/>
      <c r="K11" s="711"/>
      <c r="L11" s="711"/>
      <c r="M11" s="711"/>
      <c r="N11" s="711"/>
      <c r="O11" s="711"/>
      <c r="P11" s="711"/>
      <c r="Q11" s="711"/>
      <c r="R11" s="711"/>
      <c r="S11" s="711"/>
      <c r="T11" s="711"/>
      <c r="U11" s="711"/>
      <c r="V11" s="711"/>
      <c r="W11" s="711"/>
      <c r="X11" s="711"/>
      <c r="Y11" s="712" t="str">
        <f t="shared" si="1"/>
        <v/>
      </c>
      <c r="Z11" s="713"/>
      <c r="AA11" s="706" t="str">
        <f t="shared" si="0"/>
        <v/>
      </c>
      <c r="AB11" s="706"/>
      <c r="AC11" s="707"/>
      <c r="AD11" s="114"/>
      <c r="AE11" s="115">
        <f t="shared" si="2"/>
        <v>0</v>
      </c>
      <c r="AF11" s="115">
        <f t="shared" si="3"/>
        <v>1.8</v>
      </c>
      <c r="AG11" s="115">
        <f t="shared" si="4"/>
        <v>0</v>
      </c>
      <c r="AH11" s="115">
        <f t="shared" si="5"/>
        <v>1.8</v>
      </c>
      <c r="AI11" s="115">
        <f t="shared" si="6"/>
        <v>1.8</v>
      </c>
      <c r="AJ11" s="115">
        <f t="shared" si="7"/>
        <v>1.8</v>
      </c>
      <c r="AK11" s="114"/>
    </row>
    <row r="12" spans="1:37" ht="26.25" customHeight="1" x14ac:dyDescent="0.15">
      <c r="A12" s="714"/>
      <c r="B12" s="715"/>
      <c r="C12" s="716"/>
      <c r="D12" s="716"/>
      <c r="E12" s="716"/>
      <c r="F12" s="716"/>
      <c r="G12" s="711"/>
      <c r="H12" s="711"/>
      <c r="I12" s="711"/>
      <c r="J12" s="711"/>
      <c r="K12" s="711"/>
      <c r="L12" s="711"/>
      <c r="M12" s="711"/>
      <c r="N12" s="711"/>
      <c r="O12" s="711"/>
      <c r="P12" s="711"/>
      <c r="Q12" s="711"/>
      <c r="R12" s="711"/>
      <c r="S12" s="711"/>
      <c r="T12" s="711"/>
      <c r="U12" s="711"/>
      <c r="V12" s="711"/>
      <c r="W12" s="711"/>
      <c r="X12" s="711"/>
      <c r="Y12" s="712" t="str">
        <f t="shared" si="1"/>
        <v/>
      </c>
      <c r="Z12" s="713"/>
      <c r="AA12" s="706" t="str">
        <f t="shared" si="0"/>
        <v/>
      </c>
      <c r="AB12" s="706"/>
      <c r="AC12" s="707"/>
      <c r="AD12" s="114"/>
      <c r="AE12" s="115">
        <f>IF(O12&gt;0.4,"0.4",O12)</f>
        <v>0</v>
      </c>
      <c r="AF12" s="115">
        <f>1.8-1.36*(G12*(AE12+S12)+M12*(AE12-Q12))^0.15-0.01*(6.14-G12)*((I12+0.5*K12)*AG12)^0.5</f>
        <v>1.8</v>
      </c>
      <c r="AG12" s="115">
        <f>IF(MAX(U12,W12)&lt;=0.9,MAX(U12,W12),"0.9")</f>
        <v>0</v>
      </c>
      <c r="AH12" s="115">
        <f>IF((G12+M12)&gt;=3,AI12,AJ12)</f>
        <v>1.8</v>
      </c>
      <c r="AI12" s="115">
        <f>1.8-1.47*(G12+M12)^0.08</f>
        <v>1.8</v>
      </c>
      <c r="AJ12" s="115">
        <f>1.8-1.36*(G12+M12)^0.15</f>
        <v>1.8</v>
      </c>
      <c r="AK12" s="114"/>
    </row>
    <row r="13" spans="1:37" ht="26.25" customHeight="1" thickBot="1" x14ac:dyDescent="0.2">
      <c r="A13" s="708"/>
      <c r="B13" s="709"/>
      <c r="C13" s="710"/>
      <c r="D13" s="710"/>
      <c r="E13" s="710"/>
      <c r="F13" s="710"/>
      <c r="G13" s="701"/>
      <c r="H13" s="701"/>
      <c r="I13" s="701"/>
      <c r="J13" s="701"/>
      <c r="K13" s="701"/>
      <c r="L13" s="701"/>
      <c r="M13" s="701"/>
      <c r="N13" s="701"/>
      <c r="O13" s="701"/>
      <c r="P13" s="701"/>
      <c r="Q13" s="701"/>
      <c r="R13" s="701"/>
      <c r="S13" s="701"/>
      <c r="T13" s="701"/>
      <c r="U13" s="701"/>
      <c r="V13" s="701"/>
      <c r="W13" s="701"/>
      <c r="X13" s="701"/>
      <c r="Y13" s="702" t="str">
        <f t="shared" si="1"/>
        <v/>
      </c>
      <c r="Z13" s="703"/>
      <c r="AA13" s="704" t="str">
        <f t="shared" si="0"/>
        <v/>
      </c>
      <c r="AB13" s="704"/>
      <c r="AC13" s="705"/>
      <c r="AD13" s="114"/>
      <c r="AE13" s="115">
        <f>IF(O13&gt;0.4,"0.4",O13)</f>
        <v>0</v>
      </c>
      <c r="AF13" s="115">
        <f>1.8-1.36*(G13*(AE13+S13)+M13*(AE13-Q13))^0.15-0.01*(6.14-G13)*((I13+0.5*K13)*AG13)^0.5</f>
        <v>1.8</v>
      </c>
      <c r="AG13" s="115">
        <f>IF(MAX(U13,W13)&lt;=0.9,MAX(U13,W13),"0.9")</f>
        <v>0</v>
      </c>
      <c r="AH13" s="115">
        <f>IF((G13+M13)&gt;=3,AI13,AJ13)</f>
        <v>1.8</v>
      </c>
      <c r="AI13" s="115">
        <f>1.8-1.47*(G13+M13)^0.08</f>
        <v>1.8</v>
      </c>
      <c r="AJ13" s="115">
        <f>1.8-1.36*(G13+M13)^0.15</f>
        <v>1.8</v>
      </c>
      <c r="AK13" s="114"/>
    </row>
    <row r="14" spans="1:37" ht="26.25" customHeight="1" x14ac:dyDescent="0.15">
      <c r="A14" s="114" t="s">
        <v>339</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row>
    <row r="15" spans="1:37" ht="26.25" customHeight="1" x14ac:dyDescent="0.15">
      <c r="A15" s="114" t="s">
        <v>410</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row>
    <row r="16" spans="1:37" x14ac:dyDescent="0.15">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row>
  </sheetData>
  <sheetProtection algorithmName="SHA-512" hashValue="VJu9slOVyuWhyYUCb4Pv0ek1OAjw9hcyI1phVbXdQu3mb87lcHswT+WSUyb3Qcz4uEknnUHGw16rlyO/OaPc9w==" saltValue="CdRixE2OHZqWWep55828Sw==" spinCount="100000" sheet="1" selectLockedCells="1"/>
  <mergeCells count="120">
    <mergeCell ref="S4:T5"/>
    <mergeCell ref="U4:V5"/>
    <mergeCell ref="W4:X5"/>
    <mergeCell ref="Y4:Z5"/>
    <mergeCell ref="AA4:AC5"/>
    <mergeCell ref="AF4:AJ4"/>
    <mergeCell ref="A1:AC1"/>
    <mergeCell ref="A2:AC2"/>
    <mergeCell ref="A4:B5"/>
    <mergeCell ref="C4:F5"/>
    <mergeCell ref="G4:H5"/>
    <mergeCell ref="I4:J5"/>
    <mergeCell ref="K4:L5"/>
    <mergeCell ref="M4:N5"/>
    <mergeCell ref="O4:P5"/>
    <mergeCell ref="Q4:R5"/>
    <mergeCell ref="AA6:AC6"/>
    <mergeCell ref="A7:B7"/>
    <mergeCell ref="C7:F7"/>
    <mergeCell ref="G7:H7"/>
    <mergeCell ref="I7:J7"/>
    <mergeCell ref="K7:L7"/>
    <mergeCell ref="M7:N7"/>
    <mergeCell ref="O7:P7"/>
    <mergeCell ref="Q7:R7"/>
    <mergeCell ref="S7:T7"/>
    <mergeCell ref="O6:P6"/>
    <mergeCell ref="Q6:R6"/>
    <mergeCell ref="S6:T6"/>
    <mergeCell ref="U6:V6"/>
    <mergeCell ref="W6:X6"/>
    <mergeCell ref="Y6:Z6"/>
    <mergeCell ref="A6:B6"/>
    <mergeCell ref="C6:F6"/>
    <mergeCell ref="G6:H6"/>
    <mergeCell ref="I6:J6"/>
    <mergeCell ref="K6:L6"/>
    <mergeCell ref="M6:N6"/>
    <mergeCell ref="U7:V7"/>
    <mergeCell ref="W7:X7"/>
    <mergeCell ref="Q9:R9"/>
    <mergeCell ref="S9:T9"/>
    <mergeCell ref="Y7:Z7"/>
    <mergeCell ref="AA7:AC7"/>
    <mergeCell ref="A8:B8"/>
    <mergeCell ref="C8:F8"/>
    <mergeCell ref="G8:H8"/>
    <mergeCell ref="I8:J8"/>
    <mergeCell ref="K8:L8"/>
    <mergeCell ref="M8:N8"/>
    <mergeCell ref="AA8:AC8"/>
    <mergeCell ref="O8:P8"/>
    <mergeCell ref="Q8:R8"/>
    <mergeCell ref="S8:T8"/>
    <mergeCell ref="U8:V8"/>
    <mergeCell ref="W8:X8"/>
    <mergeCell ref="Y8:Z8"/>
    <mergeCell ref="U9:V9"/>
    <mergeCell ref="W9:X9"/>
    <mergeCell ref="Y9:Z9"/>
    <mergeCell ref="AA9:AC9"/>
    <mergeCell ref="A9:B9"/>
    <mergeCell ref="C9:F9"/>
    <mergeCell ref="G9:H9"/>
    <mergeCell ref="C10:F10"/>
    <mergeCell ref="G10:H10"/>
    <mergeCell ref="I10:J10"/>
    <mergeCell ref="K10:L10"/>
    <mergeCell ref="M10:N10"/>
    <mergeCell ref="AA10:AC10"/>
    <mergeCell ref="O10:P10"/>
    <mergeCell ref="Q10:R10"/>
    <mergeCell ref="S10:T10"/>
    <mergeCell ref="U10:V10"/>
    <mergeCell ref="W10:X10"/>
    <mergeCell ref="Y10:Z10"/>
    <mergeCell ref="I9:J9"/>
    <mergeCell ref="K9:L9"/>
    <mergeCell ref="M9:N9"/>
    <mergeCell ref="O9:P9"/>
    <mergeCell ref="U11:V11"/>
    <mergeCell ref="W11:X11"/>
    <mergeCell ref="Y11:Z11"/>
    <mergeCell ref="AA11:AC11"/>
    <mergeCell ref="A12:B12"/>
    <mergeCell ref="C12:F12"/>
    <mergeCell ref="G12:H12"/>
    <mergeCell ref="I12:J12"/>
    <mergeCell ref="K12:L12"/>
    <mergeCell ref="M12:N12"/>
    <mergeCell ref="A11:B11"/>
    <mergeCell ref="C11:F11"/>
    <mergeCell ref="G11:H11"/>
    <mergeCell ref="I11:J11"/>
    <mergeCell ref="K11:L11"/>
    <mergeCell ref="M11:N11"/>
    <mergeCell ref="O11:P11"/>
    <mergeCell ref="Q11:R11"/>
    <mergeCell ref="S11:T11"/>
    <mergeCell ref="A10:B10"/>
    <mergeCell ref="U13:V13"/>
    <mergeCell ref="W13:X13"/>
    <mergeCell ref="Y13:Z13"/>
    <mergeCell ref="AA13:AC13"/>
    <mergeCell ref="AA12:AC12"/>
    <mergeCell ref="A13:B13"/>
    <mergeCell ref="C13:F13"/>
    <mergeCell ref="G13:H13"/>
    <mergeCell ref="I13:J13"/>
    <mergeCell ref="K13:L13"/>
    <mergeCell ref="M13:N13"/>
    <mergeCell ref="O13:P13"/>
    <mergeCell ref="Q13:R13"/>
    <mergeCell ref="S13:T13"/>
    <mergeCell ref="O12:P12"/>
    <mergeCell ref="Q12:R12"/>
    <mergeCell ref="S12:T12"/>
    <mergeCell ref="U12:V12"/>
    <mergeCell ref="W12:X12"/>
    <mergeCell ref="Y12:Z12"/>
  </mergeCells>
  <phoneticPr fontId="4"/>
  <conditionalFormatting sqref="A6:X13">
    <cfRule type="expression" dxfId="0" priority="1" stopIfTrue="1">
      <formula>$AH$3&lt;&gt;2</formula>
    </cfRule>
  </conditionalFormatting>
  <dataValidations disablePrompts="1" count="1">
    <dataValidation type="list" allowBlank="1" showInputMessage="1" showErrorMessage="1" sqref="C6:F13" xr:uid="{00000000-0002-0000-0C00-000000000000}">
      <formula1>"基礎断熱,玄関土間,勝手口土間,その他"</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00B050"/>
  </sheetPr>
  <dimension ref="A1"/>
  <sheetViews>
    <sheetView workbookViewId="0"/>
  </sheetViews>
  <sheetFormatPr defaultColWidth="3.5" defaultRowHeight="13.5" x14ac:dyDescent="0.15"/>
  <sheetData/>
  <sheetProtection algorithmName="SHA-512" hashValue="0RsBvxeWhLSYb2rNSyh6xm0OpWbML8vKIDtbXfENghG2ujF9IKbdjd3GH48RU4RhygLbOsUDUpB2EHZ3kZKy3Q==" saltValue="mi9X9+Gz6uNLmbgVgffRag==" spinCount="100000" sheet="1" objects="1" scenarios="1"/>
  <phoneticPr fontId="4"/>
  <pageMargins left="0.70866141732283472" right="0.70866141732283472" top="0.74803149606299213" bottom="0.74803149606299213" header="0.31496062992125984" footer="0.31496062992125984"/>
  <pageSetup paperSize="9" scale="81" fitToHeight="0" orientation="portrait" r:id="rId1"/>
  <headerFooter>
    <oddHeader xml:space="preserve">&amp;RVer3.6
</oddHeader>
    <oddFooter>&amp;Cⓒ　2022 hyoukakyoukai.All right reserved</oddFooter>
  </headerFooter>
  <rowBreaks count="1" manualBreakCount="1">
    <brk id="113" max="16383" man="1"/>
  </rowBreaks>
  <colBreaks count="1" manualBreakCount="1">
    <brk id="2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FF00"/>
  </sheetPr>
  <dimension ref="B1:L17"/>
  <sheetViews>
    <sheetView workbookViewId="0"/>
  </sheetViews>
  <sheetFormatPr defaultRowHeight="13.5" x14ac:dyDescent="0.15"/>
  <cols>
    <col min="1" max="1" width="0.875" customWidth="1"/>
    <col min="2" max="6" width="9" customWidth="1"/>
  </cols>
  <sheetData>
    <row r="1" spans="2:12" ht="5.0999999999999996" customHeight="1" x14ac:dyDescent="0.15"/>
    <row r="2" spans="2:12" x14ac:dyDescent="0.15">
      <c r="B2" s="42" t="s">
        <v>254</v>
      </c>
    </row>
    <row r="4" spans="2:12" ht="42" customHeight="1" x14ac:dyDescent="0.15">
      <c r="B4" s="754" t="s">
        <v>255</v>
      </c>
      <c r="C4" s="754"/>
      <c r="D4" s="754"/>
      <c r="E4" s="754"/>
      <c r="F4" s="754"/>
      <c r="G4" s="754"/>
      <c r="H4" s="754"/>
      <c r="I4" s="754"/>
      <c r="J4" s="754"/>
      <c r="K4" s="754"/>
      <c r="L4" s="754"/>
    </row>
    <row r="6" spans="2:12" ht="22.5" customHeight="1" x14ac:dyDescent="0.15">
      <c r="B6" s="755" t="s">
        <v>256</v>
      </c>
      <c r="C6" s="755"/>
      <c r="D6" s="755"/>
      <c r="E6" s="755"/>
      <c r="F6" s="755"/>
      <c r="G6" s="755"/>
      <c r="H6" s="755"/>
      <c r="I6" s="755"/>
      <c r="J6" s="755"/>
      <c r="K6" s="755"/>
      <c r="L6" s="755"/>
    </row>
    <row r="7" spans="2:12" ht="14.25" thickBot="1" x14ac:dyDescent="0.2">
      <c r="B7" s="1"/>
    </row>
    <row r="8" spans="2:12" x14ac:dyDescent="0.15">
      <c r="D8" s="756" t="s">
        <v>257</v>
      </c>
      <c r="E8" s="757"/>
      <c r="F8" s="757"/>
      <c r="G8" s="757"/>
      <c r="H8" s="757"/>
      <c r="I8" s="758"/>
    </row>
    <row r="9" spans="2:12" ht="14.25" thickBot="1" x14ac:dyDescent="0.2">
      <c r="D9" s="759"/>
      <c r="E9" s="760"/>
      <c r="F9" s="760"/>
      <c r="G9" s="760"/>
      <c r="H9" s="760"/>
      <c r="I9" s="761"/>
    </row>
    <row r="10" spans="2:12" ht="13.5" customHeight="1" x14ac:dyDescent="0.15">
      <c r="B10" s="762"/>
      <c r="C10" s="763"/>
      <c r="D10" s="766" t="s">
        <v>258</v>
      </c>
      <c r="E10" s="767"/>
      <c r="F10" s="768"/>
      <c r="G10" s="775" t="s">
        <v>259</v>
      </c>
      <c r="H10" s="767"/>
      <c r="I10" s="776"/>
    </row>
    <row r="11" spans="2:12" x14ac:dyDescent="0.15">
      <c r="B11" s="764"/>
      <c r="C11" s="765"/>
      <c r="D11" s="769"/>
      <c r="E11" s="770"/>
      <c r="F11" s="771"/>
      <c r="G11" s="777"/>
      <c r="H11" s="770"/>
      <c r="I11" s="778"/>
    </row>
    <row r="12" spans="2:12" x14ac:dyDescent="0.15">
      <c r="B12" s="764"/>
      <c r="C12" s="765"/>
      <c r="D12" s="772"/>
      <c r="E12" s="773"/>
      <c r="F12" s="774"/>
      <c r="G12" s="779"/>
      <c r="H12" s="773"/>
      <c r="I12" s="780"/>
    </row>
    <row r="13" spans="2:12" x14ac:dyDescent="0.15">
      <c r="B13" s="736" t="s">
        <v>177</v>
      </c>
      <c r="C13" s="229"/>
      <c r="D13" s="737" t="s">
        <v>180</v>
      </c>
      <c r="E13" s="738"/>
      <c r="F13" s="739"/>
      <c r="G13" s="743" t="s">
        <v>178</v>
      </c>
      <c r="H13" s="738"/>
      <c r="I13" s="744"/>
    </row>
    <row r="14" spans="2:12" x14ac:dyDescent="0.15">
      <c r="B14" s="736"/>
      <c r="C14" s="229"/>
      <c r="D14" s="740"/>
      <c r="E14" s="741"/>
      <c r="F14" s="742"/>
      <c r="G14" s="745"/>
      <c r="H14" s="741"/>
      <c r="I14" s="746"/>
    </row>
    <row r="15" spans="2:12" x14ac:dyDescent="0.15">
      <c r="B15" s="736" t="s">
        <v>179</v>
      </c>
      <c r="C15" s="229"/>
      <c r="D15" s="737" t="s">
        <v>180</v>
      </c>
      <c r="E15" s="738"/>
      <c r="F15" s="739"/>
      <c r="G15" s="743" t="s">
        <v>180</v>
      </c>
      <c r="H15" s="738"/>
      <c r="I15" s="744"/>
    </row>
    <row r="16" spans="2:12" ht="14.25" thickBot="1" x14ac:dyDescent="0.2">
      <c r="B16" s="747"/>
      <c r="C16" s="748"/>
      <c r="D16" s="749"/>
      <c r="E16" s="750"/>
      <c r="F16" s="751"/>
      <c r="G16" s="752"/>
      <c r="H16" s="750"/>
      <c r="I16" s="753"/>
    </row>
    <row r="17" spans="2:4" ht="18" customHeight="1" x14ac:dyDescent="0.15">
      <c r="B17" s="1" t="s">
        <v>260</v>
      </c>
      <c r="C17" s="1"/>
      <c r="D17" s="1"/>
    </row>
  </sheetData>
  <sheetProtection algorithmName="SHA-512" hashValue="n+CBQwOU56PLef4bARk3Csl7G0Vjn5+h/Qy3qCu2CJdGM3i8tNqsUbV/28XOYVz3Zjw4Mu8QXRYlWLVn1wo4kg==" saltValue="OL1L+m0IXa+0D8UR9o6cmQ==" spinCount="100000" sheet="1" objects="1" scenarios="1" selectLockedCells="1"/>
  <mergeCells count="12">
    <mergeCell ref="B4:L4"/>
    <mergeCell ref="B6:L6"/>
    <mergeCell ref="D8:I9"/>
    <mergeCell ref="B10:C12"/>
    <mergeCell ref="D10:F12"/>
    <mergeCell ref="G10:I12"/>
    <mergeCell ref="B13:C14"/>
    <mergeCell ref="D13:F14"/>
    <mergeCell ref="G13:I14"/>
    <mergeCell ref="B15:C16"/>
    <mergeCell ref="D15:F16"/>
    <mergeCell ref="G15:I16"/>
  </mergeCells>
  <phoneticPr fontId="4"/>
  <pageMargins left="0.70866141732283472" right="0.70866141732283472" top="0.74803149606299213" bottom="0.74803149606299213" header="0.31496062992125984" footer="0.31496062992125984"/>
  <pageSetup paperSize="9" scale="81" orientation="portrait" r:id="rId1"/>
  <headerFooter>
    <oddHeader xml:space="preserve">&amp;RVer3.6
</oddHeader>
    <oddFooter>&amp;Cⓒ　2022 hyoukakyoukai.All right reserved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FF00"/>
  </sheetPr>
  <dimension ref="B1:W43"/>
  <sheetViews>
    <sheetView workbookViewId="0"/>
  </sheetViews>
  <sheetFormatPr defaultRowHeight="13.5" x14ac:dyDescent="0.15"/>
  <cols>
    <col min="1" max="1" width="0.875" style="44" customWidth="1"/>
    <col min="2" max="12" width="9" style="44"/>
    <col min="13" max="13" width="5.375" style="44" customWidth="1"/>
    <col min="14" max="16" width="11" style="44" customWidth="1"/>
    <col min="17" max="17" width="2.625" style="44" customWidth="1"/>
    <col min="18" max="18" width="9" style="44"/>
    <col min="19" max="19" width="16" style="44" customWidth="1"/>
    <col min="20" max="20" width="9" style="44" customWidth="1"/>
    <col min="21" max="21" width="2" style="44" customWidth="1"/>
    <col min="22" max="271" width="9" style="44"/>
    <col min="272" max="272" width="9.625" style="44" customWidth="1"/>
    <col min="273" max="273" width="9" style="44" customWidth="1"/>
    <col min="274" max="274" width="8.875" style="44" customWidth="1"/>
    <col min="275" max="527" width="9" style="44"/>
    <col min="528" max="528" width="9.625" style="44" customWidth="1"/>
    <col min="529" max="529" width="9" style="44" customWidth="1"/>
    <col min="530" max="530" width="8.875" style="44" customWidth="1"/>
    <col min="531" max="783" width="9" style="44"/>
    <col min="784" max="784" width="9.625" style="44" customWidth="1"/>
    <col min="785" max="785" width="9" style="44" customWidth="1"/>
    <col min="786" max="786" width="8.875" style="44" customWidth="1"/>
    <col min="787" max="1039" width="9" style="44"/>
    <col min="1040" max="1040" width="9.625" style="44" customWidth="1"/>
    <col min="1041" max="1041" width="9" style="44" customWidth="1"/>
    <col min="1042" max="1042" width="8.875" style="44" customWidth="1"/>
    <col min="1043" max="1295" width="9" style="44"/>
    <col min="1296" max="1296" width="9.625" style="44" customWidth="1"/>
    <col min="1297" max="1297" width="9" style="44" customWidth="1"/>
    <col min="1298" max="1298" width="8.875" style="44" customWidth="1"/>
    <col min="1299" max="1551" width="9" style="44"/>
    <col min="1552" max="1552" width="9.625" style="44" customWidth="1"/>
    <col min="1553" max="1553" width="9" style="44" customWidth="1"/>
    <col min="1554" max="1554" width="8.875" style="44" customWidth="1"/>
    <col min="1555" max="1807" width="9" style="44"/>
    <col min="1808" max="1808" width="9.625" style="44" customWidth="1"/>
    <col min="1809" max="1809" width="9" style="44" customWidth="1"/>
    <col min="1810" max="1810" width="8.875" style="44" customWidth="1"/>
    <col min="1811" max="2063" width="9" style="44"/>
    <col min="2064" max="2064" width="9.625" style="44" customWidth="1"/>
    <col min="2065" max="2065" width="9" style="44" customWidth="1"/>
    <col min="2066" max="2066" width="8.875" style="44" customWidth="1"/>
    <col min="2067" max="2319" width="9" style="44"/>
    <col min="2320" max="2320" width="9.625" style="44" customWidth="1"/>
    <col min="2321" max="2321" width="9" style="44" customWidth="1"/>
    <col min="2322" max="2322" width="8.875" style="44" customWidth="1"/>
    <col min="2323" max="2575" width="9" style="44"/>
    <col min="2576" max="2576" width="9.625" style="44" customWidth="1"/>
    <col min="2577" max="2577" width="9" style="44" customWidth="1"/>
    <col min="2578" max="2578" width="8.875" style="44" customWidth="1"/>
    <col min="2579" max="2831" width="9" style="44"/>
    <col min="2832" max="2832" width="9.625" style="44" customWidth="1"/>
    <col min="2833" max="2833" width="9" style="44" customWidth="1"/>
    <col min="2834" max="2834" width="8.875" style="44" customWidth="1"/>
    <col min="2835" max="3087" width="9" style="44"/>
    <col min="3088" max="3088" width="9.625" style="44" customWidth="1"/>
    <col min="3089" max="3089" width="9" style="44" customWidth="1"/>
    <col min="3090" max="3090" width="8.875" style="44" customWidth="1"/>
    <col min="3091" max="3343" width="9" style="44"/>
    <col min="3344" max="3344" width="9.625" style="44" customWidth="1"/>
    <col min="3345" max="3345" width="9" style="44" customWidth="1"/>
    <col min="3346" max="3346" width="8.875" style="44" customWidth="1"/>
    <col min="3347" max="3599" width="9" style="44"/>
    <col min="3600" max="3600" width="9.625" style="44" customWidth="1"/>
    <col min="3601" max="3601" width="9" style="44" customWidth="1"/>
    <col min="3602" max="3602" width="8.875" style="44" customWidth="1"/>
    <col min="3603" max="3855" width="9" style="44"/>
    <col min="3856" max="3856" width="9.625" style="44" customWidth="1"/>
    <col min="3857" max="3857" width="9" style="44" customWidth="1"/>
    <col min="3858" max="3858" width="8.875" style="44" customWidth="1"/>
    <col min="3859" max="4111" width="9" style="44"/>
    <col min="4112" max="4112" width="9.625" style="44" customWidth="1"/>
    <col min="4113" max="4113" width="9" style="44" customWidth="1"/>
    <col min="4114" max="4114" width="8.875" style="44" customWidth="1"/>
    <col min="4115" max="4367" width="9" style="44"/>
    <col min="4368" max="4368" width="9.625" style="44" customWidth="1"/>
    <col min="4369" max="4369" width="9" style="44" customWidth="1"/>
    <col min="4370" max="4370" width="8.875" style="44" customWidth="1"/>
    <col min="4371" max="4623" width="9" style="44"/>
    <col min="4624" max="4624" width="9.625" style="44" customWidth="1"/>
    <col min="4625" max="4625" width="9" style="44" customWidth="1"/>
    <col min="4626" max="4626" width="8.875" style="44" customWidth="1"/>
    <col min="4627" max="4879" width="9" style="44"/>
    <col min="4880" max="4880" width="9.625" style="44" customWidth="1"/>
    <col min="4881" max="4881" width="9" style="44" customWidth="1"/>
    <col min="4882" max="4882" width="8.875" style="44" customWidth="1"/>
    <col min="4883" max="5135" width="9" style="44"/>
    <col min="5136" max="5136" width="9.625" style="44" customWidth="1"/>
    <col min="5137" max="5137" width="9" style="44" customWidth="1"/>
    <col min="5138" max="5138" width="8.875" style="44" customWidth="1"/>
    <col min="5139" max="5391" width="9" style="44"/>
    <col min="5392" max="5392" width="9.625" style="44" customWidth="1"/>
    <col min="5393" max="5393" width="9" style="44" customWidth="1"/>
    <col min="5394" max="5394" width="8.875" style="44" customWidth="1"/>
    <col min="5395" max="5647" width="9" style="44"/>
    <col min="5648" max="5648" width="9.625" style="44" customWidth="1"/>
    <col min="5649" max="5649" width="9" style="44" customWidth="1"/>
    <col min="5650" max="5650" width="8.875" style="44" customWidth="1"/>
    <col min="5651" max="5903" width="9" style="44"/>
    <col min="5904" max="5904" width="9.625" style="44" customWidth="1"/>
    <col min="5905" max="5905" width="9" style="44" customWidth="1"/>
    <col min="5906" max="5906" width="8.875" style="44" customWidth="1"/>
    <col min="5907" max="6159" width="9" style="44"/>
    <col min="6160" max="6160" width="9.625" style="44" customWidth="1"/>
    <col min="6161" max="6161" width="9" style="44" customWidth="1"/>
    <col min="6162" max="6162" width="8.875" style="44" customWidth="1"/>
    <col min="6163" max="6415" width="9" style="44"/>
    <col min="6416" max="6416" width="9.625" style="44" customWidth="1"/>
    <col min="6417" max="6417" width="9" style="44" customWidth="1"/>
    <col min="6418" max="6418" width="8.875" style="44" customWidth="1"/>
    <col min="6419" max="6671" width="9" style="44"/>
    <col min="6672" max="6672" width="9.625" style="44" customWidth="1"/>
    <col min="6673" max="6673" width="9" style="44" customWidth="1"/>
    <col min="6674" max="6674" width="8.875" style="44" customWidth="1"/>
    <col min="6675" max="6927" width="9" style="44"/>
    <col min="6928" max="6928" width="9.625" style="44" customWidth="1"/>
    <col min="6929" max="6929" width="9" style="44" customWidth="1"/>
    <col min="6930" max="6930" width="8.875" style="44" customWidth="1"/>
    <col min="6931" max="7183" width="9" style="44"/>
    <col min="7184" max="7184" width="9.625" style="44" customWidth="1"/>
    <col min="7185" max="7185" width="9" style="44" customWidth="1"/>
    <col min="7186" max="7186" width="8.875" style="44" customWidth="1"/>
    <col min="7187" max="7439" width="9" style="44"/>
    <col min="7440" max="7440" width="9.625" style="44" customWidth="1"/>
    <col min="7441" max="7441" width="9" style="44" customWidth="1"/>
    <col min="7442" max="7442" width="8.875" style="44" customWidth="1"/>
    <col min="7443" max="7695" width="9" style="44"/>
    <col min="7696" max="7696" width="9.625" style="44" customWidth="1"/>
    <col min="7697" max="7697" width="9" style="44" customWidth="1"/>
    <col min="7698" max="7698" width="8.875" style="44" customWidth="1"/>
    <col min="7699" max="7951" width="9" style="44"/>
    <col min="7952" max="7952" width="9.625" style="44" customWidth="1"/>
    <col min="7953" max="7953" width="9" style="44" customWidth="1"/>
    <col min="7954" max="7954" width="8.875" style="44" customWidth="1"/>
    <col min="7955" max="8207" width="9" style="44"/>
    <col min="8208" max="8208" width="9.625" style="44" customWidth="1"/>
    <col min="8209" max="8209" width="9" style="44" customWidth="1"/>
    <col min="8210" max="8210" width="8.875" style="44" customWidth="1"/>
    <col min="8211" max="8463" width="9" style="44"/>
    <col min="8464" max="8464" width="9.625" style="44" customWidth="1"/>
    <col min="8465" max="8465" width="9" style="44" customWidth="1"/>
    <col min="8466" max="8466" width="8.875" style="44" customWidth="1"/>
    <col min="8467" max="8719" width="9" style="44"/>
    <col min="8720" max="8720" width="9.625" style="44" customWidth="1"/>
    <col min="8721" max="8721" width="9" style="44" customWidth="1"/>
    <col min="8722" max="8722" width="8.875" style="44" customWidth="1"/>
    <col min="8723" max="8975" width="9" style="44"/>
    <col min="8976" max="8976" width="9.625" style="44" customWidth="1"/>
    <col min="8977" max="8977" width="9" style="44" customWidth="1"/>
    <col min="8978" max="8978" width="8.875" style="44" customWidth="1"/>
    <col min="8979" max="9231" width="9" style="44"/>
    <col min="9232" max="9232" width="9.625" style="44" customWidth="1"/>
    <col min="9233" max="9233" width="9" style="44" customWidth="1"/>
    <col min="9234" max="9234" width="8.875" style="44" customWidth="1"/>
    <col min="9235" max="9487" width="9" style="44"/>
    <col min="9488" max="9488" width="9.625" style="44" customWidth="1"/>
    <col min="9489" max="9489" width="9" style="44" customWidth="1"/>
    <col min="9490" max="9490" width="8.875" style="44" customWidth="1"/>
    <col min="9491" max="9743" width="9" style="44"/>
    <col min="9744" max="9744" width="9.625" style="44" customWidth="1"/>
    <col min="9745" max="9745" width="9" style="44" customWidth="1"/>
    <col min="9746" max="9746" width="8.875" style="44" customWidth="1"/>
    <col min="9747" max="9999" width="9" style="44"/>
    <col min="10000" max="10000" width="9.625" style="44" customWidth="1"/>
    <col min="10001" max="10001" width="9" style="44" customWidth="1"/>
    <col min="10002" max="10002" width="8.875" style="44" customWidth="1"/>
    <col min="10003" max="10255" width="9" style="44"/>
    <col min="10256" max="10256" width="9.625" style="44" customWidth="1"/>
    <col min="10257" max="10257" width="9" style="44" customWidth="1"/>
    <col min="10258" max="10258" width="8.875" style="44" customWidth="1"/>
    <col min="10259" max="10511" width="9" style="44"/>
    <col min="10512" max="10512" width="9.625" style="44" customWidth="1"/>
    <col min="10513" max="10513" width="9" style="44" customWidth="1"/>
    <col min="10514" max="10514" width="8.875" style="44" customWidth="1"/>
    <col min="10515" max="10767" width="9" style="44"/>
    <col min="10768" max="10768" width="9.625" style="44" customWidth="1"/>
    <col min="10769" max="10769" width="9" style="44" customWidth="1"/>
    <col min="10770" max="10770" width="8.875" style="44" customWidth="1"/>
    <col min="10771" max="11023" width="9" style="44"/>
    <col min="11024" max="11024" width="9.625" style="44" customWidth="1"/>
    <col min="11025" max="11025" width="9" style="44" customWidth="1"/>
    <col min="11026" max="11026" width="8.875" style="44" customWidth="1"/>
    <col min="11027" max="11279" width="9" style="44"/>
    <col min="11280" max="11280" width="9.625" style="44" customWidth="1"/>
    <col min="11281" max="11281" width="9" style="44" customWidth="1"/>
    <col min="11282" max="11282" width="8.875" style="44" customWidth="1"/>
    <col min="11283" max="11535" width="9" style="44"/>
    <col min="11536" max="11536" width="9.625" style="44" customWidth="1"/>
    <col min="11537" max="11537" width="9" style="44" customWidth="1"/>
    <col min="11538" max="11538" width="8.875" style="44" customWidth="1"/>
    <col min="11539" max="11791" width="9" style="44"/>
    <col min="11792" max="11792" width="9.625" style="44" customWidth="1"/>
    <col min="11793" max="11793" width="9" style="44" customWidth="1"/>
    <col min="11794" max="11794" width="8.875" style="44" customWidth="1"/>
    <col min="11795" max="12047" width="9" style="44"/>
    <col min="12048" max="12048" width="9.625" style="44" customWidth="1"/>
    <col min="12049" max="12049" width="9" style="44" customWidth="1"/>
    <col min="12050" max="12050" width="8.875" style="44" customWidth="1"/>
    <col min="12051" max="12303" width="9" style="44"/>
    <col min="12304" max="12304" width="9.625" style="44" customWidth="1"/>
    <col min="12305" max="12305" width="9" style="44" customWidth="1"/>
    <col min="12306" max="12306" width="8.875" style="44" customWidth="1"/>
    <col min="12307" max="12559" width="9" style="44"/>
    <col min="12560" max="12560" width="9.625" style="44" customWidth="1"/>
    <col min="12561" max="12561" width="9" style="44" customWidth="1"/>
    <col min="12562" max="12562" width="8.875" style="44" customWidth="1"/>
    <col min="12563" max="12815" width="9" style="44"/>
    <col min="12816" max="12816" width="9.625" style="44" customWidth="1"/>
    <col min="12817" max="12817" width="9" style="44" customWidth="1"/>
    <col min="12818" max="12818" width="8.875" style="44" customWidth="1"/>
    <col min="12819" max="13071" width="9" style="44"/>
    <col min="13072" max="13072" width="9.625" style="44" customWidth="1"/>
    <col min="13073" max="13073" width="9" style="44" customWidth="1"/>
    <col min="13074" max="13074" width="8.875" style="44" customWidth="1"/>
    <col min="13075" max="13327" width="9" style="44"/>
    <col min="13328" max="13328" width="9.625" style="44" customWidth="1"/>
    <col min="13329" max="13329" width="9" style="44" customWidth="1"/>
    <col min="13330" max="13330" width="8.875" style="44" customWidth="1"/>
    <col min="13331" max="13583" width="9" style="44"/>
    <col min="13584" max="13584" width="9.625" style="44" customWidth="1"/>
    <col min="13585" max="13585" width="9" style="44" customWidth="1"/>
    <col min="13586" max="13586" width="8.875" style="44" customWidth="1"/>
    <col min="13587" max="13839" width="9" style="44"/>
    <col min="13840" max="13840" width="9.625" style="44" customWidth="1"/>
    <col min="13841" max="13841" width="9" style="44" customWidth="1"/>
    <col min="13842" max="13842" width="8.875" style="44" customWidth="1"/>
    <col min="13843" max="14095" width="9" style="44"/>
    <col min="14096" max="14096" width="9.625" style="44" customWidth="1"/>
    <col min="14097" max="14097" width="9" style="44" customWidth="1"/>
    <col min="14098" max="14098" width="8.875" style="44" customWidth="1"/>
    <col min="14099" max="14351" width="9" style="44"/>
    <col min="14352" max="14352" width="9.625" style="44" customWidth="1"/>
    <col min="14353" max="14353" width="9" style="44" customWidth="1"/>
    <col min="14354" max="14354" width="8.875" style="44" customWidth="1"/>
    <col min="14355" max="14607" width="9" style="44"/>
    <col min="14608" max="14608" width="9.625" style="44" customWidth="1"/>
    <col min="14609" max="14609" width="9" style="44" customWidth="1"/>
    <col min="14610" max="14610" width="8.875" style="44" customWidth="1"/>
    <col min="14611" max="14863" width="9" style="44"/>
    <col min="14864" max="14864" width="9.625" style="44" customWidth="1"/>
    <col min="14865" max="14865" width="9" style="44" customWidth="1"/>
    <col min="14866" max="14866" width="8.875" style="44" customWidth="1"/>
    <col min="14867" max="15119" width="9" style="44"/>
    <col min="15120" max="15120" width="9.625" style="44" customWidth="1"/>
    <col min="15121" max="15121" width="9" style="44" customWidth="1"/>
    <col min="15122" max="15122" width="8.875" style="44" customWidth="1"/>
    <col min="15123" max="15375" width="9" style="44"/>
    <col min="15376" max="15376" width="9.625" style="44" customWidth="1"/>
    <col min="15377" max="15377" width="9" style="44" customWidth="1"/>
    <col min="15378" max="15378" width="8.875" style="44" customWidth="1"/>
    <col min="15379" max="15631" width="9" style="44"/>
    <col min="15632" max="15632" width="9.625" style="44" customWidth="1"/>
    <col min="15633" max="15633" width="9" style="44" customWidth="1"/>
    <col min="15634" max="15634" width="8.875" style="44" customWidth="1"/>
    <col min="15635" max="15887" width="9" style="44"/>
    <col min="15888" max="15888" width="9.625" style="44" customWidth="1"/>
    <col min="15889" max="15889" width="9" style="44" customWidth="1"/>
    <col min="15890" max="15890" width="8.875" style="44" customWidth="1"/>
    <col min="15891" max="16143" width="9" style="44"/>
    <col min="16144" max="16144" width="9.625" style="44" customWidth="1"/>
    <col min="16145" max="16145" width="9" style="44" customWidth="1"/>
    <col min="16146" max="16146" width="8.875" style="44" customWidth="1"/>
    <col min="16147" max="16384" width="9" style="44"/>
  </cols>
  <sheetData>
    <row r="1" spans="2:20" ht="5.0999999999999996" customHeight="1" x14ac:dyDescent="0.15"/>
    <row r="2" spans="2:20" ht="17.25" x14ac:dyDescent="0.15">
      <c r="B2" s="43" t="s">
        <v>181</v>
      </c>
      <c r="S2" s="45"/>
    </row>
    <row r="4" spans="2:20" x14ac:dyDescent="0.15">
      <c r="B4" s="44" t="s">
        <v>182</v>
      </c>
    </row>
    <row r="5" spans="2:20" x14ac:dyDescent="0.15">
      <c r="B5" s="46"/>
      <c r="C5" s="47"/>
      <c r="D5" s="47"/>
      <c r="E5" s="47"/>
      <c r="F5" s="47"/>
      <c r="G5" s="47"/>
      <c r="H5" s="47"/>
      <c r="I5" s="47"/>
      <c r="J5" s="47"/>
      <c r="K5" s="47"/>
      <c r="L5" s="47"/>
      <c r="M5" s="47"/>
      <c r="N5" s="47"/>
      <c r="O5" s="47"/>
      <c r="P5" s="48"/>
      <c r="Q5" s="49"/>
    </row>
    <row r="6" spans="2:20" x14ac:dyDescent="0.15">
      <c r="B6" s="50" t="s">
        <v>183</v>
      </c>
      <c r="C6" s="51"/>
      <c r="D6" s="51"/>
      <c r="E6" s="51"/>
      <c r="F6" s="51"/>
      <c r="G6" s="51"/>
      <c r="P6" s="52"/>
      <c r="Q6" s="49"/>
      <c r="R6" s="53"/>
      <c r="S6" s="53"/>
      <c r="T6" s="53"/>
    </row>
    <row r="7" spans="2:20" x14ac:dyDescent="0.15">
      <c r="B7" s="54" t="s">
        <v>184</v>
      </c>
      <c r="C7" s="51"/>
      <c r="D7" s="51"/>
      <c r="E7" s="51"/>
      <c r="F7" s="51"/>
      <c r="G7" s="51"/>
      <c r="P7" s="52"/>
      <c r="Q7" s="49"/>
      <c r="R7" s="55"/>
      <c r="S7" s="53"/>
      <c r="T7" s="53"/>
    </row>
    <row r="8" spans="2:20" x14ac:dyDescent="0.15">
      <c r="B8" s="50" t="s">
        <v>185</v>
      </c>
      <c r="C8" s="51"/>
      <c r="D8" s="51"/>
      <c r="E8" s="51"/>
      <c r="F8" s="51"/>
      <c r="G8" s="51"/>
      <c r="P8" s="52"/>
      <c r="Q8" s="49"/>
      <c r="R8" s="55"/>
      <c r="S8" s="53"/>
      <c r="T8" s="53"/>
    </row>
    <row r="9" spans="2:20" x14ac:dyDescent="0.15">
      <c r="B9" s="54" t="s">
        <v>186</v>
      </c>
      <c r="C9" s="51"/>
      <c r="D9" s="51"/>
      <c r="E9" s="51"/>
      <c r="F9" s="51"/>
      <c r="G9" s="51"/>
      <c r="P9" s="52"/>
      <c r="Q9" s="49"/>
      <c r="R9" s="53"/>
      <c r="S9" s="53"/>
      <c r="T9" s="53"/>
    </row>
    <row r="10" spans="2:20" x14ac:dyDescent="0.15">
      <c r="B10" s="50" t="s">
        <v>187</v>
      </c>
      <c r="C10" s="51"/>
      <c r="D10" s="51"/>
      <c r="E10" s="51"/>
      <c r="F10" s="51"/>
      <c r="G10" s="51"/>
      <c r="P10" s="52"/>
      <c r="Q10" s="49"/>
      <c r="R10" s="53"/>
      <c r="S10" s="53"/>
      <c r="T10" s="53"/>
    </row>
    <row r="11" spans="2:20" x14ac:dyDescent="0.15">
      <c r="B11" s="54" t="s">
        <v>188</v>
      </c>
      <c r="C11" s="51"/>
      <c r="D11" s="51"/>
      <c r="E11" s="51"/>
      <c r="F11" s="51"/>
      <c r="G11" s="51"/>
      <c r="P11" s="52"/>
      <c r="Q11" s="49"/>
      <c r="R11" s="53"/>
      <c r="S11" s="53"/>
      <c r="T11" s="53"/>
    </row>
    <row r="12" spans="2:20" x14ac:dyDescent="0.15">
      <c r="B12" s="54" t="s">
        <v>189</v>
      </c>
      <c r="C12" s="51"/>
      <c r="D12" s="51"/>
      <c r="E12" s="51"/>
      <c r="F12" s="51"/>
      <c r="G12" s="51"/>
      <c r="P12" s="52"/>
      <c r="Q12" s="49"/>
      <c r="R12" s="53"/>
      <c r="S12" s="53"/>
      <c r="T12" s="53"/>
    </row>
    <row r="13" spans="2:20" x14ac:dyDescent="0.15">
      <c r="B13" s="54" t="s">
        <v>190</v>
      </c>
      <c r="C13" s="51"/>
      <c r="D13" s="51"/>
      <c r="E13" s="51"/>
      <c r="F13" s="51"/>
      <c r="G13" s="51"/>
      <c r="P13" s="52"/>
      <c r="Q13" s="49"/>
      <c r="R13" s="53"/>
      <c r="S13" s="53"/>
      <c r="T13" s="53"/>
    </row>
    <row r="14" spans="2:20" x14ac:dyDescent="0.15">
      <c r="B14" s="54" t="s">
        <v>191</v>
      </c>
      <c r="C14" s="51"/>
      <c r="D14" s="51"/>
      <c r="E14" s="51"/>
      <c r="F14" s="51"/>
      <c r="G14" s="51"/>
      <c r="P14" s="52"/>
      <c r="Q14" s="49"/>
      <c r="R14" s="53"/>
      <c r="S14" s="53"/>
      <c r="T14" s="53"/>
    </row>
    <row r="15" spans="2:20" x14ac:dyDescent="0.15">
      <c r="B15" s="49"/>
      <c r="P15" s="52"/>
      <c r="Q15" s="49"/>
    </row>
    <row r="16" spans="2:20" x14ac:dyDescent="0.15">
      <c r="B16" s="54" t="s">
        <v>192</v>
      </c>
      <c r="P16" s="52"/>
      <c r="Q16" s="49"/>
    </row>
    <row r="17" spans="2:23" x14ac:dyDescent="0.15">
      <c r="B17" s="54" t="s">
        <v>193</v>
      </c>
      <c r="P17" s="52"/>
      <c r="Q17" s="49"/>
    </row>
    <row r="18" spans="2:23" x14ac:dyDescent="0.15">
      <c r="B18" s="56"/>
      <c r="C18" s="57"/>
      <c r="D18" s="57"/>
      <c r="E18" s="57"/>
      <c r="F18" s="57"/>
      <c r="G18" s="57"/>
      <c r="H18" s="57"/>
      <c r="I18" s="57"/>
      <c r="J18" s="57"/>
      <c r="K18" s="57"/>
      <c r="L18" s="57"/>
      <c r="M18" s="57"/>
      <c r="N18" s="57"/>
      <c r="O18" s="57"/>
      <c r="P18" s="58"/>
      <c r="Q18" s="49"/>
    </row>
    <row r="19" spans="2:23" x14ac:dyDescent="0.15">
      <c r="B19" s="59"/>
    </row>
    <row r="20" spans="2:23" x14ac:dyDescent="0.15">
      <c r="C20" s="53"/>
      <c r="D20" s="53"/>
      <c r="E20" s="53"/>
      <c r="F20" s="53"/>
      <c r="I20" s="53"/>
      <c r="J20" s="53"/>
      <c r="K20" s="53"/>
      <c r="L20" s="53"/>
      <c r="M20" s="53"/>
      <c r="R20" s="781" t="s">
        <v>194</v>
      </c>
      <c r="S20" s="60" t="s">
        <v>195</v>
      </c>
      <c r="T20" s="61" t="s">
        <v>196</v>
      </c>
    </row>
    <row r="21" spans="2:23" x14ac:dyDescent="0.15">
      <c r="C21" s="53"/>
      <c r="D21" s="53"/>
      <c r="E21" s="53"/>
      <c r="F21" s="53"/>
      <c r="I21" s="53"/>
      <c r="J21" s="53"/>
      <c r="K21" s="53"/>
      <c r="L21" s="53"/>
      <c r="M21" s="53"/>
      <c r="R21" s="782"/>
      <c r="S21" s="62" t="s">
        <v>197</v>
      </c>
      <c r="T21" s="63" t="s">
        <v>198</v>
      </c>
    </row>
    <row r="22" spans="2:23" x14ac:dyDescent="0.15">
      <c r="C22" s="53"/>
      <c r="D22" s="53"/>
      <c r="E22" s="53"/>
      <c r="F22" s="53"/>
      <c r="I22" s="53"/>
      <c r="J22" s="53"/>
      <c r="K22" s="53"/>
      <c r="L22" s="53"/>
      <c r="M22" s="53"/>
      <c r="R22" s="64"/>
      <c r="S22" s="60" t="s">
        <v>199</v>
      </c>
      <c r="T22" s="784" t="s">
        <v>200</v>
      </c>
    </row>
    <row r="23" spans="2:23" x14ac:dyDescent="0.15">
      <c r="C23" s="53"/>
      <c r="D23" s="53"/>
      <c r="E23" s="53"/>
      <c r="F23" s="53"/>
      <c r="I23" s="53"/>
      <c r="J23" s="53"/>
      <c r="K23" s="53"/>
      <c r="L23" s="53"/>
      <c r="M23" s="53"/>
      <c r="R23" s="65"/>
      <c r="S23" s="63" t="s">
        <v>201</v>
      </c>
      <c r="T23" s="785"/>
    </row>
    <row r="24" spans="2:23" x14ac:dyDescent="0.15">
      <c r="C24" s="66"/>
      <c r="D24" s="66"/>
      <c r="E24" s="53"/>
      <c r="F24" s="53"/>
      <c r="I24" s="66"/>
      <c r="J24" s="66"/>
      <c r="K24" s="53"/>
      <c r="L24" s="53"/>
      <c r="M24" s="53"/>
      <c r="R24" s="64"/>
      <c r="S24" s="60" t="s">
        <v>199</v>
      </c>
      <c r="T24" s="784" t="s">
        <v>202</v>
      </c>
    </row>
    <row r="25" spans="2:23" x14ac:dyDescent="0.15">
      <c r="C25" s="66"/>
      <c r="D25" s="66"/>
      <c r="E25" s="53"/>
      <c r="F25" s="53"/>
      <c r="I25" s="66"/>
      <c r="J25" s="66"/>
      <c r="K25" s="53"/>
      <c r="L25" s="53"/>
      <c r="M25" s="53"/>
      <c r="R25" s="65"/>
      <c r="S25" s="63" t="s">
        <v>203</v>
      </c>
      <c r="T25" s="785"/>
    </row>
    <row r="26" spans="2:23" x14ac:dyDescent="0.15">
      <c r="C26" s="66"/>
      <c r="D26" s="66"/>
      <c r="E26" s="66"/>
      <c r="F26" s="66"/>
      <c r="I26" s="66"/>
      <c r="J26" s="66"/>
      <c r="K26" s="66"/>
      <c r="L26" s="66"/>
      <c r="M26" s="66"/>
      <c r="R26" s="64"/>
      <c r="S26" s="60" t="s">
        <v>204</v>
      </c>
      <c r="T26" s="784" t="s">
        <v>200</v>
      </c>
    </row>
    <row r="27" spans="2:23" ht="13.5" customHeight="1" x14ac:dyDescent="0.15">
      <c r="R27" s="65"/>
      <c r="S27" s="63" t="s">
        <v>201</v>
      </c>
      <c r="T27" s="785"/>
    </row>
    <row r="28" spans="2:23" ht="14.25" customHeight="1" x14ac:dyDescent="0.15">
      <c r="D28" s="67"/>
      <c r="E28" s="67"/>
      <c r="J28" s="67"/>
      <c r="K28" s="67"/>
      <c r="R28" s="64"/>
      <c r="S28" s="60" t="s">
        <v>204</v>
      </c>
      <c r="T28" s="784" t="s">
        <v>205</v>
      </c>
      <c r="W28" s="66"/>
    </row>
    <row r="29" spans="2:23" ht="13.5" customHeight="1" x14ac:dyDescent="0.15">
      <c r="R29" s="65"/>
      <c r="S29" s="63" t="s">
        <v>206</v>
      </c>
      <c r="T29" s="785"/>
      <c r="W29" s="66"/>
    </row>
    <row r="30" spans="2:23" ht="14.25" customHeight="1" x14ac:dyDescent="0.15">
      <c r="R30" s="64"/>
      <c r="S30" s="61" t="s">
        <v>207</v>
      </c>
      <c r="T30" s="781" t="s">
        <v>205</v>
      </c>
      <c r="W30" s="53"/>
    </row>
    <row r="31" spans="2:23" ht="13.5" customHeight="1" x14ac:dyDescent="0.15">
      <c r="R31" s="65"/>
      <c r="S31" s="63" t="s">
        <v>208</v>
      </c>
      <c r="T31" s="782"/>
    </row>
    <row r="32" spans="2:23" ht="14.25" customHeight="1" x14ac:dyDescent="0.15">
      <c r="C32" s="53"/>
      <c r="D32" s="53"/>
      <c r="E32" s="53"/>
      <c r="F32" s="53"/>
      <c r="I32" s="53"/>
      <c r="J32" s="53"/>
      <c r="K32" s="53"/>
      <c r="L32" s="53"/>
      <c r="M32" s="53"/>
      <c r="R32" s="64"/>
      <c r="S32" s="61" t="s">
        <v>209</v>
      </c>
      <c r="T32" s="781" t="s">
        <v>205</v>
      </c>
    </row>
    <row r="33" spans="3:23" ht="13.5" customHeight="1" x14ac:dyDescent="0.15">
      <c r="C33" s="53"/>
      <c r="D33" s="53"/>
      <c r="E33" s="53"/>
      <c r="F33" s="53"/>
      <c r="I33" s="53"/>
      <c r="J33" s="53"/>
      <c r="K33" s="53"/>
      <c r="L33" s="53"/>
      <c r="M33" s="53"/>
      <c r="R33" s="65"/>
      <c r="S33" s="63" t="s">
        <v>206</v>
      </c>
      <c r="T33" s="782"/>
    </row>
    <row r="34" spans="3:23" ht="14.25" customHeight="1" x14ac:dyDescent="0.15">
      <c r="C34" s="53"/>
      <c r="D34" s="53"/>
      <c r="E34" s="53"/>
      <c r="F34" s="53"/>
      <c r="I34" s="66"/>
      <c r="J34" s="66"/>
      <c r="K34" s="53"/>
      <c r="L34" s="53"/>
      <c r="M34" s="53"/>
      <c r="R34" s="64"/>
      <c r="S34" s="61" t="s">
        <v>210</v>
      </c>
      <c r="T34" s="781" t="s">
        <v>205</v>
      </c>
    </row>
    <row r="35" spans="3:23" ht="14.25" customHeight="1" x14ac:dyDescent="0.15">
      <c r="C35" s="53"/>
      <c r="D35" s="53"/>
      <c r="E35" s="53"/>
      <c r="F35" s="53"/>
      <c r="I35" s="66"/>
      <c r="J35" s="66"/>
      <c r="K35" s="53"/>
      <c r="L35" s="53"/>
      <c r="M35" s="53"/>
      <c r="R35" s="68"/>
      <c r="S35" s="69" t="s">
        <v>211</v>
      </c>
      <c r="T35" s="783"/>
    </row>
    <row r="36" spans="3:23" x14ac:dyDescent="0.15">
      <c r="C36" s="53"/>
      <c r="D36" s="53"/>
      <c r="E36" s="53"/>
      <c r="F36" s="53"/>
      <c r="I36" s="66"/>
      <c r="J36" s="66"/>
      <c r="K36" s="53"/>
      <c r="L36" s="53"/>
      <c r="M36" s="53"/>
      <c r="R36" s="65"/>
      <c r="S36" s="63" t="s">
        <v>212</v>
      </c>
      <c r="T36" s="782"/>
    </row>
    <row r="37" spans="3:23" x14ac:dyDescent="0.15">
      <c r="C37" s="53"/>
      <c r="D37" s="53"/>
      <c r="E37" s="53"/>
      <c r="F37" s="53"/>
      <c r="I37" s="53"/>
      <c r="J37" s="53"/>
      <c r="K37" s="53"/>
      <c r="L37" s="66"/>
      <c r="M37" s="66"/>
    </row>
    <row r="38" spans="3:23" x14ac:dyDescent="0.15">
      <c r="C38" s="53"/>
      <c r="D38" s="53"/>
      <c r="E38" s="53"/>
      <c r="F38" s="53"/>
      <c r="I38" s="53"/>
      <c r="J38" s="53"/>
      <c r="K38" s="53"/>
      <c r="L38" s="66"/>
      <c r="M38" s="66"/>
    </row>
    <row r="39" spans="3:23" x14ac:dyDescent="0.15">
      <c r="C39" s="66"/>
      <c r="D39" s="66"/>
      <c r="E39" s="53"/>
      <c r="F39" s="53"/>
      <c r="I39" s="66"/>
      <c r="J39" s="66"/>
      <c r="K39" s="53"/>
      <c r="L39" s="53"/>
      <c r="M39" s="53"/>
      <c r="W39" s="53"/>
    </row>
    <row r="40" spans="3:23" x14ac:dyDescent="0.15">
      <c r="C40" s="66"/>
      <c r="D40" s="66"/>
      <c r="E40" s="53"/>
      <c r="F40" s="53"/>
      <c r="I40" s="66"/>
      <c r="J40" s="66"/>
      <c r="K40" s="53"/>
      <c r="L40" s="53"/>
      <c r="M40" s="53"/>
    </row>
    <row r="41" spans="3:23" x14ac:dyDescent="0.15">
      <c r="C41" s="66"/>
      <c r="D41" s="66"/>
      <c r="E41" s="66"/>
      <c r="F41" s="66"/>
      <c r="I41" s="66"/>
      <c r="J41" s="66"/>
      <c r="K41" s="66"/>
      <c r="L41" s="66"/>
      <c r="M41" s="66"/>
      <c r="W41" s="53"/>
    </row>
    <row r="43" spans="3:23" x14ac:dyDescent="0.15">
      <c r="D43" s="67"/>
      <c r="E43" s="67"/>
      <c r="J43" s="67"/>
      <c r="K43" s="67"/>
      <c r="W43" s="53"/>
    </row>
  </sheetData>
  <sheetProtection algorithmName="SHA-512" hashValue="RePYu0RY7hMI5kr6d0+rkiP10Q9OGt/G2u7DGpLmXLMm6l4HJf2xuIATpKbUpyG4yubhKVETTrl+NgFniEFcmA==" saltValue="wwZFCImOdU0FfSqVHFq7FA==" spinCount="100000" sheet="1" objects="1" scenarios="1" selectLockedCells="1"/>
  <mergeCells count="8">
    <mergeCell ref="T32:T33"/>
    <mergeCell ref="T34:T36"/>
    <mergeCell ref="R20:R21"/>
    <mergeCell ref="T22:T23"/>
    <mergeCell ref="T24:T25"/>
    <mergeCell ref="T26:T27"/>
    <mergeCell ref="T28:T29"/>
    <mergeCell ref="T30:T31"/>
  </mergeCells>
  <phoneticPr fontId="4"/>
  <pageMargins left="0.70866141732283472" right="0.70866141732283472" top="0.74803149606299213" bottom="0.74803149606299213" header="0.31496062992125984" footer="0.31496062992125984"/>
  <pageSetup paperSize="9" scale="49" orientation="portrait" r:id="rId1"/>
  <headerFooter>
    <oddHeader xml:space="preserve">&amp;RVer3.6
</oddHeader>
    <oddFooter>&amp;Cⓒ　2022 hyoukakyoukai.All right reserved</oddFooter>
  </headerFooter>
  <colBreaks count="1" manualBreakCount="1">
    <brk id="2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B1:F23"/>
  <sheetViews>
    <sheetView workbookViewId="0"/>
  </sheetViews>
  <sheetFormatPr defaultColWidth="9" defaultRowHeight="12" x14ac:dyDescent="0.15"/>
  <cols>
    <col min="1" max="1" width="0.875" style="17" customWidth="1"/>
    <col min="2" max="2" width="21.125" style="17" customWidth="1"/>
    <col min="3" max="3" width="3.5" style="102" bestFit="1" customWidth="1"/>
    <col min="4" max="4" width="20.375" style="17" customWidth="1"/>
    <col min="5" max="5" width="49.5" style="17" customWidth="1"/>
    <col min="6" max="6" width="12.75" style="17" bestFit="1" customWidth="1"/>
    <col min="7" max="7" width="0.875" style="17" customWidth="1"/>
    <col min="8" max="16384" width="9" style="17"/>
  </cols>
  <sheetData>
    <row r="1" spans="2:6" ht="5.0999999999999996" customHeight="1" x14ac:dyDescent="0.15"/>
    <row r="2" spans="2:6" x14ac:dyDescent="0.15">
      <c r="B2" s="17" t="s">
        <v>301</v>
      </c>
    </row>
    <row r="3" spans="2:6" s="102" customFormat="1" ht="24" x14ac:dyDescent="0.15">
      <c r="B3" s="103" t="s">
        <v>302</v>
      </c>
      <c r="C3" s="104" t="s">
        <v>303</v>
      </c>
      <c r="D3" s="105" t="s">
        <v>304</v>
      </c>
      <c r="E3" s="106" t="s">
        <v>305</v>
      </c>
      <c r="F3" s="107" t="s">
        <v>306</v>
      </c>
    </row>
    <row r="4" spans="2:6" ht="12" customHeight="1" x14ac:dyDescent="0.15">
      <c r="B4" s="793" t="s">
        <v>308</v>
      </c>
      <c r="C4" s="787" t="s">
        <v>307</v>
      </c>
      <c r="D4" s="789" t="s">
        <v>309</v>
      </c>
      <c r="E4" s="791" t="s">
        <v>310</v>
      </c>
      <c r="F4" s="795">
        <v>44298</v>
      </c>
    </row>
    <row r="5" spans="2:6" ht="13.5" customHeight="1" x14ac:dyDescent="0.15">
      <c r="B5" s="794"/>
      <c r="C5" s="788"/>
      <c r="D5" s="790"/>
      <c r="E5" s="792"/>
      <c r="F5" s="796"/>
    </row>
    <row r="6" spans="2:6" x14ac:dyDescent="0.15">
      <c r="B6" s="793" t="s">
        <v>311</v>
      </c>
      <c r="C6" s="155" t="s">
        <v>312</v>
      </c>
      <c r="D6" s="156" t="s">
        <v>314</v>
      </c>
      <c r="E6" s="156" t="s">
        <v>316</v>
      </c>
      <c r="F6" s="795">
        <v>44424</v>
      </c>
    </row>
    <row r="7" spans="2:6" x14ac:dyDescent="0.15">
      <c r="B7" s="268"/>
      <c r="C7" s="154" t="s">
        <v>313</v>
      </c>
      <c r="D7" s="157" t="s">
        <v>314</v>
      </c>
      <c r="E7" s="157" t="s">
        <v>319</v>
      </c>
      <c r="F7" s="797"/>
    </row>
    <row r="8" spans="2:6" x14ac:dyDescent="0.15">
      <c r="B8" s="268"/>
      <c r="C8" s="154" t="s">
        <v>318</v>
      </c>
      <c r="D8" s="157" t="s">
        <v>315</v>
      </c>
      <c r="E8" s="157" t="s">
        <v>320</v>
      </c>
      <c r="F8" s="797"/>
    </row>
    <row r="9" spans="2:6" x14ac:dyDescent="0.15">
      <c r="B9" s="794"/>
      <c r="C9" s="158" t="s">
        <v>321</v>
      </c>
      <c r="D9" s="159" t="s">
        <v>315</v>
      </c>
      <c r="E9" s="159" t="s">
        <v>317</v>
      </c>
      <c r="F9" s="796"/>
    </row>
    <row r="10" spans="2:6" x14ac:dyDescent="0.15">
      <c r="B10" s="211" t="s">
        <v>356</v>
      </c>
      <c r="C10" s="155" t="s">
        <v>312</v>
      </c>
      <c r="D10" s="156" t="s">
        <v>368</v>
      </c>
      <c r="E10" s="156" t="s">
        <v>369</v>
      </c>
      <c r="F10" s="795">
        <v>44635</v>
      </c>
    </row>
    <row r="11" spans="2:6" x14ac:dyDescent="0.15">
      <c r="B11" s="211"/>
      <c r="C11" s="154" t="s">
        <v>352</v>
      </c>
      <c r="D11" s="157" t="s">
        <v>357</v>
      </c>
      <c r="E11" s="157" t="s">
        <v>370</v>
      </c>
      <c r="F11" s="797"/>
    </row>
    <row r="12" spans="2:6" x14ac:dyDescent="0.15">
      <c r="B12" s="211"/>
      <c r="C12" s="158" t="s">
        <v>353</v>
      </c>
      <c r="D12" s="159" t="s">
        <v>354</v>
      </c>
      <c r="E12" s="159" t="s">
        <v>355</v>
      </c>
      <c r="F12" s="794"/>
    </row>
    <row r="13" spans="2:6" x14ac:dyDescent="0.15">
      <c r="B13" s="141" t="s">
        <v>374</v>
      </c>
      <c r="C13" s="141" t="s">
        <v>312</v>
      </c>
      <c r="D13" s="142" t="s">
        <v>357</v>
      </c>
      <c r="E13" s="143" t="s">
        <v>375</v>
      </c>
      <c r="F13" s="144">
        <v>44662</v>
      </c>
    </row>
    <row r="14" spans="2:6" x14ac:dyDescent="0.15">
      <c r="B14" s="793" t="s">
        <v>377</v>
      </c>
      <c r="C14" s="155" t="s">
        <v>312</v>
      </c>
      <c r="D14" s="156" t="s">
        <v>381</v>
      </c>
      <c r="E14" s="156" t="s">
        <v>379</v>
      </c>
      <c r="F14" s="795">
        <v>44866</v>
      </c>
    </row>
    <row r="15" spans="2:6" x14ac:dyDescent="0.15">
      <c r="B15" s="794"/>
      <c r="C15" s="158" t="s">
        <v>352</v>
      </c>
      <c r="D15" s="159" t="s">
        <v>378</v>
      </c>
      <c r="E15" s="159" t="s">
        <v>380</v>
      </c>
      <c r="F15" s="796"/>
    </row>
    <row r="16" spans="2:6" x14ac:dyDescent="0.15">
      <c r="B16" s="107" t="s">
        <v>389</v>
      </c>
      <c r="C16" s="141" t="s">
        <v>312</v>
      </c>
      <c r="D16" s="142" t="s">
        <v>368</v>
      </c>
      <c r="E16" s="143" t="s">
        <v>390</v>
      </c>
      <c r="F16" s="152">
        <v>45002</v>
      </c>
    </row>
    <row r="17" spans="2:6" x14ac:dyDescent="0.15">
      <c r="B17" s="211" t="s">
        <v>392</v>
      </c>
      <c r="C17" s="155" t="s">
        <v>307</v>
      </c>
      <c r="D17" s="156" t="s">
        <v>396</v>
      </c>
      <c r="E17" s="156" t="s">
        <v>397</v>
      </c>
      <c r="F17" s="786">
        <v>45755</v>
      </c>
    </row>
    <row r="18" spans="2:6" x14ac:dyDescent="0.15">
      <c r="B18" s="211"/>
      <c r="C18" s="154" t="s">
        <v>352</v>
      </c>
      <c r="D18" s="157" t="s">
        <v>396</v>
      </c>
      <c r="E18" s="157" t="s">
        <v>398</v>
      </c>
      <c r="F18" s="786"/>
    </row>
    <row r="19" spans="2:6" x14ac:dyDescent="0.15">
      <c r="B19" s="211"/>
      <c r="C19" s="154" t="s">
        <v>353</v>
      </c>
      <c r="D19" s="157" t="s">
        <v>396</v>
      </c>
      <c r="E19" s="157" t="s">
        <v>407</v>
      </c>
      <c r="F19" s="786"/>
    </row>
    <row r="20" spans="2:6" ht="24" x14ac:dyDescent="0.15">
      <c r="B20" s="211"/>
      <c r="C20" s="154" t="s">
        <v>401</v>
      </c>
      <c r="D20" s="157" t="s">
        <v>399</v>
      </c>
      <c r="E20" s="157" t="s">
        <v>400</v>
      </c>
      <c r="F20" s="786"/>
    </row>
    <row r="21" spans="2:6" x14ac:dyDescent="0.15">
      <c r="B21" s="211"/>
      <c r="C21" s="154" t="s">
        <v>404</v>
      </c>
      <c r="D21" s="157" t="s">
        <v>402</v>
      </c>
      <c r="E21" s="157" t="s">
        <v>403</v>
      </c>
      <c r="F21" s="786"/>
    </row>
    <row r="22" spans="2:6" x14ac:dyDescent="0.15">
      <c r="B22" s="211"/>
      <c r="C22" s="154" t="s">
        <v>406</v>
      </c>
      <c r="D22" s="157" t="s">
        <v>315</v>
      </c>
      <c r="E22" s="157" t="s">
        <v>408</v>
      </c>
      <c r="F22" s="786"/>
    </row>
    <row r="23" spans="2:6" x14ac:dyDescent="0.15">
      <c r="B23" s="211"/>
      <c r="C23" s="158" t="s">
        <v>409</v>
      </c>
      <c r="D23" s="159" t="s">
        <v>393</v>
      </c>
      <c r="E23" s="159" t="s">
        <v>405</v>
      </c>
      <c r="F23" s="786"/>
    </row>
  </sheetData>
  <sheetProtection algorithmName="SHA-512" hashValue="ak7+BnWdEwz/oN5xXZKld/Bz7FEQE3CuFqliqTD9Bu0wFQXwDsS3PytbCoA+GvJYyQQVeYVIFTDYKO2FDCQmbg==" saltValue="1KdjGNZ/8H34e02HUQzRrQ==" spinCount="100000" sheet="1" selectLockedCells="1" selectUnlockedCells="1"/>
  <mergeCells count="13">
    <mergeCell ref="B17:B23"/>
    <mergeCell ref="F17:F23"/>
    <mergeCell ref="C4:C5"/>
    <mergeCell ref="D4:D5"/>
    <mergeCell ref="E4:E5"/>
    <mergeCell ref="B14:B15"/>
    <mergeCell ref="F14:F15"/>
    <mergeCell ref="B4:B5"/>
    <mergeCell ref="F4:F5"/>
    <mergeCell ref="B6:B9"/>
    <mergeCell ref="F6:F9"/>
    <mergeCell ref="B10:B12"/>
    <mergeCell ref="F10:F12"/>
  </mergeCells>
  <phoneticPr fontId="4"/>
  <pageMargins left="0.70866141732283472" right="0.70866141732283472" top="0.74803149606299213" bottom="0.74803149606299213" header="0.31496062992125984" footer="0.31496062992125984"/>
  <pageSetup paperSize="9" scale="81" orientation="portrait" r:id="rId1"/>
  <headerFooter>
    <oddHeader xml:space="preserve">&amp;RVer3.6
</oddHeader>
    <oddFooter>&amp;Cⓒ　2022 hyoukakyoukai.All right reserved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W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 hidden="1" customWidth="1"/>
    <col min="35" max="36" width="10.75" hidden="1" customWidth="1"/>
    <col min="37" max="37" width="10.625" hidden="1" customWidth="1"/>
    <col min="38" max="38" width="5.625" hidden="1" customWidth="1"/>
    <col min="39" max="40" width="6.625" hidden="1" customWidth="1"/>
    <col min="41" max="41" width="10.625" hidden="1" customWidth="1"/>
    <col min="42" max="43" width="7.125" hidden="1" customWidth="1"/>
    <col min="44" max="44" width="10.625" hidden="1" customWidth="1"/>
    <col min="45" max="45" width="5.25" hidden="1" customWidth="1"/>
    <col min="46" max="46" width="6.5" hidden="1" customWidth="1"/>
    <col min="47" max="47" width="3.5" hidden="1" customWidth="1"/>
    <col min="48" max="48" width="3.625" hidden="1" customWidth="1"/>
    <col min="49" max="49" width="4.625" hidden="1" customWidth="1"/>
    <col min="50" max="50" width="4.625" customWidth="1"/>
  </cols>
  <sheetData>
    <row r="1" spans="2:46" ht="5.0999999999999996" customHeight="1" x14ac:dyDescent="0.15"/>
    <row r="2" spans="2:46" s="1" customFormat="1" ht="30" customHeight="1" x14ac:dyDescent="0.15">
      <c r="B2" s="421" t="s">
        <v>46</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0.325",IF(共通条件・結果!AA7="７地域",0.307,IF(共通条件・結果!AA7="６地域",0.341,IF(共通条件・結果!AA7="５地域",0.373,IF(共通条件・結果!AA7="４地域",0.322,IF(共通条件・結果!AA7="３地域",0.335,IF(共通条件・結果!AA7="２地域",0.341,IF(共通条件・結果!AA7="１地域",0.329))))))))</f>
        <v>0.33500000000000002</v>
      </c>
      <c r="AA4" s="429"/>
      <c r="AB4" s="430">
        <f>IF(共通条件・結果!AA7="８地域","-",IF(共通条件・結果!AA7="７地域",0.227,IF(共通条件・結果!AA7="６地域",0.261,IF(共通条件・結果!AA7="５地域",0.238,IF(共通条件・結果!AA7="４地域",0.256,IF(共通条件・結果!AA7="３地域",0.284,IF(共通条件・結果!AA7="２地域",0.263,IF(共通条件・結果!AA7="１地域",0.26))))))))</f>
        <v>0.28399999999999997</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50"/>
      <c r="E8" s="287"/>
      <c r="F8" s="292"/>
      <c r="G8" s="251"/>
      <c r="H8" s="250"/>
      <c r="I8" s="251"/>
      <c r="J8" s="252"/>
      <c r="K8" s="253"/>
      <c r="L8" s="250"/>
      <c r="M8" s="251"/>
      <c r="N8" s="379"/>
      <c r="O8" s="380"/>
      <c r="P8" s="451"/>
      <c r="Q8" s="452"/>
      <c r="R8" s="444"/>
      <c r="S8" s="445"/>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IF(AH8=FALSE,"0.0",D8*F8*L8*$Z$4*AM8)</f>
        <v>0</v>
      </c>
      <c r="AJ8" s="2">
        <f t="shared" ref="AJ8:AJ14" si="3">IF(AH8=FALSE,"0.0",D8*F8*L8*$AB$4*AN8)</f>
        <v>0</v>
      </c>
      <c r="AL8" s="12" t="b">
        <v>1</v>
      </c>
      <c r="AM8" s="2" t="str">
        <f>IF(AL8=TRUE,"0.93",IF(ISERROR(AP8),"エラー",IF(AP8&gt;0.93,"0.93",AP8)))</f>
        <v>0.93</v>
      </c>
      <c r="AN8" s="2" t="str">
        <f>IF(AL8=TRUE,"0.51",IF(ISERROR(AQ8),"エラー",IF(AQ8&gt;0.72,"0.72",AQ8)))</f>
        <v>0.51</v>
      </c>
      <c r="AP8" s="2" t="e">
        <f t="shared" ref="AP8:AP14" si="4">0.01*(16+24*(2*V8+X8)/T8)</f>
        <v>#DIV/0!</v>
      </c>
      <c r="AQ8" s="2" t="e">
        <f t="shared" ref="AQ8:AQ14" si="5">0.01*(10+15*(2*V8+X8)/T8)</f>
        <v>#DIV/0!</v>
      </c>
      <c r="AS8" s="2">
        <f>IF(AT8="FALSE",H8,IF(N8="風除室",1/((1/H8)+0.1),0.5*H8+0.5*(1/((1/H8)+AT8))))</f>
        <v>0</v>
      </c>
      <c r="AT8" s="11" t="str">
        <f t="shared" ref="AT8:AT14" si="6">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409"/>
      <c r="Q9" s="410"/>
      <c r="R9" s="254"/>
      <c r="S9" s="256"/>
      <c r="T9" s="404"/>
      <c r="U9" s="405"/>
      <c r="V9" s="404"/>
      <c r="W9" s="406"/>
      <c r="X9" s="407"/>
      <c r="Y9" s="408"/>
      <c r="Z9" s="365" t="str">
        <f t="shared" si="0"/>
        <v/>
      </c>
      <c r="AA9" s="365"/>
      <c r="AB9" s="365" t="str">
        <f t="shared" si="1"/>
        <v/>
      </c>
      <c r="AC9" s="365"/>
      <c r="AD9" s="365" t="str">
        <f t="shared" si="2"/>
        <v/>
      </c>
      <c r="AE9" s="403"/>
      <c r="AH9" s="12" t="b">
        <v>1</v>
      </c>
      <c r="AI9" s="2">
        <f t="shared" ref="AI9:AI14" si="7">IF(AH9=FALSE,"0.0",D9*F9*L9*$Z$4*AM9)</f>
        <v>0</v>
      </c>
      <c r="AJ9" s="2">
        <f t="shared" si="3"/>
        <v>0</v>
      </c>
      <c r="AL9" s="12" t="b">
        <v>1</v>
      </c>
      <c r="AM9" s="2" t="str">
        <f t="shared" ref="AM9:AM14" si="8">IF(AL9=TRUE,"0.93",IF(ISERROR(AP9),"エラー",IF(AP9&gt;0.93,"0.93",AP9)))</f>
        <v>0.93</v>
      </c>
      <c r="AN9" s="2" t="str">
        <f t="shared" ref="AN9:AN14" si="9">IF(AL9=TRUE,"0.51",IF(ISERROR(AQ9),"エラー",IF(AQ9&gt;0.72,"0.72",AQ9)))</f>
        <v>0.51</v>
      </c>
      <c r="AP9" s="2" t="e">
        <f t="shared" si="4"/>
        <v>#DIV/0!</v>
      </c>
      <c r="AQ9" s="2" t="e">
        <f t="shared" si="5"/>
        <v>#DIV/0!</v>
      </c>
      <c r="AS9" s="2">
        <f t="shared" ref="AS9:AS14" si="10">IF(AT9="FALSE",H9,IF(N9="風除室",1/((1/H9)+0.1),0.5*H9+0.5*(1/((1/H9)+AT9))))</f>
        <v>0</v>
      </c>
      <c r="AT9" s="11" t="str">
        <f t="shared" si="6"/>
        <v>FALSE</v>
      </c>
    </row>
    <row r="10" spans="2:46" s="2" customFormat="1" ht="21.95" customHeight="1" x14ac:dyDescent="0.15">
      <c r="B10" s="295"/>
      <c r="C10" s="296"/>
      <c r="D10" s="289"/>
      <c r="E10" s="299"/>
      <c r="F10" s="291"/>
      <c r="G10" s="290"/>
      <c r="H10" s="289"/>
      <c r="I10" s="290"/>
      <c r="J10" s="254"/>
      <c r="K10" s="255"/>
      <c r="L10" s="289"/>
      <c r="M10" s="290"/>
      <c r="N10" s="245"/>
      <c r="O10" s="246"/>
      <c r="P10" s="409"/>
      <c r="Q10" s="410"/>
      <c r="R10" s="254"/>
      <c r="S10" s="256"/>
      <c r="T10" s="404"/>
      <c r="U10" s="405"/>
      <c r="V10" s="404"/>
      <c r="W10" s="406"/>
      <c r="X10" s="407"/>
      <c r="Y10" s="408"/>
      <c r="Z10" s="365" t="str">
        <f>IF(D10="","",AI10)</f>
        <v/>
      </c>
      <c r="AA10" s="365"/>
      <c r="AB10" s="365" t="str">
        <f t="shared" si="1"/>
        <v/>
      </c>
      <c r="AC10" s="365"/>
      <c r="AD10" s="365" t="str">
        <f t="shared" si="2"/>
        <v/>
      </c>
      <c r="AE10" s="403"/>
      <c r="AH10" s="12" t="b">
        <v>1</v>
      </c>
      <c r="AI10" s="2">
        <f>IF(AH10=FALSE,"0.0",D10*F10*L10*$Z$4*AM10)</f>
        <v>0</v>
      </c>
      <c r="AJ10" s="2">
        <f t="shared" si="3"/>
        <v>0</v>
      </c>
      <c r="AL10" s="12" t="b">
        <v>1</v>
      </c>
      <c r="AM10" s="2" t="str">
        <f>IF(AL10=TRUE,"0.93",IF(ISERROR(AP10),"エラー",IF(AP10&gt;0.93,"0.93",AP10)))</f>
        <v>0.93</v>
      </c>
      <c r="AN10" s="2" t="str">
        <f t="shared" si="9"/>
        <v>0.51</v>
      </c>
      <c r="AP10" s="2" t="e">
        <f>0.01*(16+24*(2*V10+X10)/T10)</f>
        <v>#DIV/0!</v>
      </c>
      <c r="AQ10" s="2" t="e">
        <f t="shared" si="5"/>
        <v>#DIV/0!</v>
      </c>
      <c r="AS10" s="2">
        <f t="shared" si="10"/>
        <v>0</v>
      </c>
      <c r="AT10" s="11" t="str">
        <f t="shared" si="6"/>
        <v>FALSE</v>
      </c>
    </row>
    <row r="11" spans="2:46" s="2" customFormat="1" ht="21.95" customHeight="1" x14ac:dyDescent="0.15">
      <c r="B11" s="295"/>
      <c r="C11" s="296"/>
      <c r="D11" s="289"/>
      <c r="E11" s="299"/>
      <c r="F11" s="291"/>
      <c r="G11" s="290"/>
      <c r="H11" s="289"/>
      <c r="I11" s="290"/>
      <c r="J11" s="254"/>
      <c r="K11" s="255"/>
      <c r="L11" s="289"/>
      <c r="M11" s="290"/>
      <c r="N11" s="245"/>
      <c r="O11" s="246"/>
      <c r="P11" s="409"/>
      <c r="Q11" s="410"/>
      <c r="R11" s="254"/>
      <c r="S11" s="256"/>
      <c r="T11" s="404"/>
      <c r="U11" s="405"/>
      <c r="V11" s="404"/>
      <c r="W11" s="406"/>
      <c r="X11" s="407"/>
      <c r="Y11" s="408"/>
      <c r="Z11" s="365" t="str">
        <f t="shared" si="0"/>
        <v/>
      </c>
      <c r="AA11" s="365"/>
      <c r="AB11" s="365" t="str">
        <f t="shared" si="1"/>
        <v/>
      </c>
      <c r="AC11" s="365"/>
      <c r="AD11" s="365" t="str">
        <f t="shared" si="2"/>
        <v/>
      </c>
      <c r="AE11" s="403"/>
      <c r="AH11" s="12" t="b">
        <v>1</v>
      </c>
      <c r="AI11" s="2">
        <f t="shared" si="7"/>
        <v>0</v>
      </c>
      <c r="AJ11" s="2">
        <f t="shared" si="3"/>
        <v>0</v>
      </c>
      <c r="AL11" s="12" t="b">
        <v>1</v>
      </c>
      <c r="AM11" s="2" t="str">
        <f t="shared" si="8"/>
        <v>0.93</v>
      </c>
      <c r="AN11" s="2" t="str">
        <f t="shared" si="9"/>
        <v>0.51</v>
      </c>
      <c r="AP11" s="2" t="e">
        <f>0.01*(16+24*(2*V11+X11)/T11)</f>
        <v>#DIV/0!</v>
      </c>
      <c r="AQ11" s="2" t="e">
        <f t="shared" si="5"/>
        <v>#DIV/0!</v>
      </c>
      <c r="AS11" s="2">
        <f t="shared" si="10"/>
        <v>0</v>
      </c>
      <c r="AT11" s="11" t="str">
        <f t="shared" si="6"/>
        <v>FALSE</v>
      </c>
    </row>
    <row r="12" spans="2:46" s="2" customFormat="1" ht="21.95" customHeight="1" x14ac:dyDescent="0.15">
      <c r="B12" s="295"/>
      <c r="C12" s="296"/>
      <c r="D12" s="289"/>
      <c r="E12" s="299"/>
      <c r="F12" s="291"/>
      <c r="G12" s="290"/>
      <c r="H12" s="289"/>
      <c r="I12" s="290"/>
      <c r="J12" s="254"/>
      <c r="K12" s="255"/>
      <c r="L12" s="289"/>
      <c r="M12" s="290"/>
      <c r="N12" s="245"/>
      <c r="O12" s="246"/>
      <c r="P12" s="409"/>
      <c r="Q12" s="410"/>
      <c r="R12" s="254"/>
      <c r="S12" s="256"/>
      <c r="T12" s="404"/>
      <c r="U12" s="405"/>
      <c r="V12" s="404"/>
      <c r="W12" s="406"/>
      <c r="X12" s="407"/>
      <c r="Y12" s="408"/>
      <c r="Z12" s="366" t="str">
        <f>IF(D12="","",AI12)</f>
        <v/>
      </c>
      <c r="AA12" s="367"/>
      <c r="AB12" s="365" t="str">
        <f>IF(D12="","",IF(ISERROR(AJ12),"-",AJ12))</f>
        <v/>
      </c>
      <c r="AC12" s="365"/>
      <c r="AD12" s="365" t="str">
        <f t="shared" si="2"/>
        <v/>
      </c>
      <c r="AE12" s="403"/>
      <c r="AH12" s="12" t="b">
        <v>1</v>
      </c>
      <c r="AI12" s="2">
        <f>IF(AH12=FALSE,"0.0",D12*F12*L12*$Z$4*AM12)</f>
        <v>0</v>
      </c>
      <c r="AJ12" s="2">
        <f t="shared" si="3"/>
        <v>0</v>
      </c>
      <c r="AL12" s="12" t="b">
        <v>1</v>
      </c>
      <c r="AM12" s="2" t="str">
        <f>IF(AL12=TRUE,"0.93",IF(ISERROR(AP12),"エラー",IF(AP12&gt;0.93,"0.93",AP12)))</f>
        <v>0.93</v>
      </c>
      <c r="AN12" s="2" t="str">
        <f t="shared" si="9"/>
        <v>0.51</v>
      </c>
      <c r="AP12" s="2" t="e">
        <f>0.01*(16+24*(2*V12+X12)/T12)</f>
        <v>#DIV/0!</v>
      </c>
      <c r="AQ12" s="2" t="e">
        <f t="shared" si="5"/>
        <v>#DIV/0!</v>
      </c>
      <c r="AS12" s="2">
        <f t="shared" si="10"/>
        <v>0</v>
      </c>
      <c r="AT12" s="11" t="str">
        <f t="shared" si="6"/>
        <v>FALSE</v>
      </c>
    </row>
    <row r="13" spans="2:46" s="2" customFormat="1" ht="21.95" customHeight="1" x14ac:dyDescent="0.15">
      <c r="B13" s="295"/>
      <c r="C13" s="296"/>
      <c r="D13" s="289"/>
      <c r="E13" s="299"/>
      <c r="F13" s="291"/>
      <c r="G13" s="290"/>
      <c r="H13" s="289"/>
      <c r="I13" s="290"/>
      <c r="J13" s="254"/>
      <c r="K13" s="255"/>
      <c r="L13" s="289"/>
      <c r="M13" s="290"/>
      <c r="N13" s="245"/>
      <c r="O13" s="246"/>
      <c r="P13" s="409"/>
      <c r="Q13" s="410"/>
      <c r="R13" s="254"/>
      <c r="S13" s="256"/>
      <c r="T13" s="404"/>
      <c r="U13" s="405"/>
      <c r="V13" s="404"/>
      <c r="W13" s="406"/>
      <c r="X13" s="407"/>
      <c r="Y13" s="408"/>
      <c r="Z13" s="366" t="str">
        <f t="shared" si="0"/>
        <v/>
      </c>
      <c r="AA13" s="367"/>
      <c r="AB13" s="365" t="str">
        <f t="shared" si="1"/>
        <v/>
      </c>
      <c r="AC13" s="365"/>
      <c r="AD13" s="365" t="str">
        <f t="shared" si="2"/>
        <v/>
      </c>
      <c r="AE13" s="403"/>
      <c r="AH13" s="12" t="b">
        <v>1</v>
      </c>
      <c r="AI13" s="2">
        <f t="shared" si="7"/>
        <v>0</v>
      </c>
      <c r="AJ13" s="2">
        <f t="shared" si="3"/>
        <v>0</v>
      </c>
      <c r="AL13" s="12" t="b">
        <v>1</v>
      </c>
      <c r="AM13" s="2" t="str">
        <f t="shared" si="8"/>
        <v>0.93</v>
      </c>
      <c r="AN13" s="2" t="str">
        <f t="shared" si="9"/>
        <v>0.51</v>
      </c>
      <c r="AP13" s="2" t="e">
        <f t="shared" si="4"/>
        <v>#DIV/0!</v>
      </c>
      <c r="AQ13" s="2" t="e">
        <f t="shared" si="5"/>
        <v>#DIV/0!</v>
      </c>
      <c r="AS13" s="2">
        <f t="shared" si="10"/>
        <v>0</v>
      </c>
      <c r="AT13" s="11" t="str">
        <f t="shared" si="6"/>
        <v>FALSE</v>
      </c>
    </row>
    <row r="14" spans="2:46" s="2" customFormat="1" ht="21.95" customHeight="1" thickBot="1" x14ac:dyDescent="0.2">
      <c r="B14" s="304"/>
      <c r="C14" s="305"/>
      <c r="D14" s="306"/>
      <c r="E14" s="384"/>
      <c r="F14" s="385"/>
      <c r="G14" s="307"/>
      <c r="H14" s="306"/>
      <c r="I14" s="307"/>
      <c r="J14" s="370"/>
      <c r="K14" s="371"/>
      <c r="L14" s="306"/>
      <c r="M14" s="307"/>
      <c r="N14" s="391"/>
      <c r="O14" s="392"/>
      <c r="P14" s="401"/>
      <c r="Q14" s="402"/>
      <c r="R14" s="370"/>
      <c r="S14" s="393"/>
      <c r="T14" s="394"/>
      <c r="U14" s="395"/>
      <c r="V14" s="394"/>
      <c r="W14" s="396"/>
      <c r="X14" s="397"/>
      <c r="Y14" s="398"/>
      <c r="Z14" s="399" t="str">
        <f t="shared" si="0"/>
        <v/>
      </c>
      <c r="AA14" s="400"/>
      <c r="AB14" s="389" t="str">
        <f t="shared" si="1"/>
        <v/>
      </c>
      <c r="AC14" s="389"/>
      <c r="AD14" s="389" t="str">
        <f t="shared" si="2"/>
        <v/>
      </c>
      <c r="AE14" s="390"/>
      <c r="AH14" s="12" t="b">
        <v>1</v>
      </c>
      <c r="AI14" s="2">
        <f t="shared" si="7"/>
        <v>0</v>
      </c>
      <c r="AJ14" s="2">
        <f t="shared" si="3"/>
        <v>0</v>
      </c>
      <c r="AL14" s="12" t="b">
        <v>1</v>
      </c>
      <c r="AM14" s="2" t="str">
        <f t="shared" si="8"/>
        <v>0.93</v>
      </c>
      <c r="AN14" s="2" t="str">
        <f t="shared" si="9"/>
        <v>0.51</v>
      </c>
      <c r="AP14" s="2" t="e">
        <f t="shared" si="4"/>
        <v>#DIV/0!</v>
      </c>
      <c r="AQ14" s="2" t="e">
        <f t="shared" si="5"/>
        <v>#DIV/0!</v>
      </c>
      <c r="AS14" s="2">
        <f t="shared" si="10"/>
        <v>0</v>
      </c>
      <c r="AT14" s="11" t="str">
        <f t="shared" si="6"/>
        <v>FALSE</v>
      </c>
    </row>
    <row r="15" spans="2:46" s="2" customFormat="1" ht="21.95" customHeight="1" thickBot="1" x14ac:dyDescent="0.2">
      <c r="B15" s="386" t="s">
        <v>47</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SUM(AD8:AE14)</f>
        <v>0</v>
      </c>
      <c r="AE15" s="329"/>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48</v>
      </c>
      <c r="M23" s="248"/>
      <c r="N23" s="248"/>
      <c r="O23" s="248"/>
      <c r="P23" s="248"/>
      <c r="Q23" s="248"/>
      <c r="R23" s="248"/>
      <c r="S23" s="248"/>
      <c r="T23" s="248"/>
      <c r="U23" s="248"/>
      <c r="V23" s="248"/>
      <c r="W23" s="248"/>
      <c r="X23" s="248"/>
      <c r="Y23" s="249"/>
      <c r="Z23" s="327">
        <f>SUM(Z21:AA22)</f>
        <v>0</v>
      </c>
      <c r="AA23" s="330"/>
      <c r="AB23" s="327">
        <f>SUM(AB21:AC22)</f>
        <v>0</v>
      </c>
      <c r="AC23" s="330"/>
      <c r="AD23" s="327">
        <f>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335" t="str">
        <f>IF(N29="","",N29-P29)</f>
        <v/>
      </c>
      <c r="S29" s="336"/>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335" t="str">
        <f>IF(N30="","",N30-P30)</f>
        <v/>
      </c>
      <c r="S30" s="336"/>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335" t="str">
        <f>IF(N31="","",N31-P31)</f>
        <v/>
      </c>
      <c r="S31" s="336"/>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335" t="str">
        <f>IF(N32="","",N32-P32)</f>
        <v/>
      </c>
      <c r="S32" s="336"/>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6" s="2" customFormat="1" ht="21.95" customHeight="1" thickBot="1" x14ac:dyDescent="0.2">
      <c r="L33" s="304"/>
      <c r="M33" s="305"/>
      <c r="N33" s="306"/>
      <c r="O33" s="307"/>
      <c r="P33" s="306"/>
      <c r="Q33" s="307"/>
      <c r="R33" s="333" t="str">
        <f>IF(N33="","",N33-P33)</f>
        <v/>
      </c>
      <c r="S33" s="334"/>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6" s="2" customFormat="1" ht="21.95" customHeight="1" thickBot="1" x14ac:dyDescent="0.2">
      <c r="L34" s="247" t="s">
        <v>62</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SUM(AD29:AE33)</f>
        <v>0</v>
      </c>
      <c r="AE34" s="332"/>
      <c r="AH34" s="12"/>
      <c r="AO34" s="12"/>
      <c r="AP34" s="12"/>
    </row>
    <row r="35" spans="2:46"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6" s="2" customFormat="1" ht="21.75" customHeight="1" thickBot="1" x14ac:dyDescent="0.2">
      <c r="L36" s="4" t="s">
        <v>233</v>
      </c>
      <c r="U36" s="4"/>
      <c r="V36" s="4"/>
      <c r="X36" s="4"/>
      <c r="AT36" s="11"/>
    </row>
    <row r="37" spans="2:46"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c r="AL37" s="11"/>
    </row>
    <row r="38" spans="2:46"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c r="AL38" s="11"/>
    </row>
    <row r="39" spans="2:46"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c r="AL39" s="11"/>
    </row>
    <row r="40" spans="2:46"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c r="AL40" s="11"/>
    </row>
    <row r="41" spans="2:46"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c r="AL41" s="11"/>
    </row>
    <row r="42" spans="2:46" s="2" customFormat="1" ht="21.75" customHeight="1" thickBot="1" x14ac:dyDescent="0.2">
      <c r="L42" s="247" t="s">
        <v>247</v>
      </c>
      <c r="M42" s="248"/>
      <c r="N42" s="248"/>
      <c r="O42" s="248"/>
      <c r="P42" s="248"/>
      <c r="Q42" s="248"/>
      <c r="R42" s="248"/>
      <c r="S42" s="248"/>
      <c r="T42" s="248"/>
      <c r="U42" s="248"/>
      <c r="V42" s="248"/>
      <c r="W42" s="248"/>
      <c r="X42" s="248"/>
      <c r="Y42" s="248"/>
      <c r="Z42" s="248"/>
      <c r="AA42" s="249"/>
      <c r="AB42" s="327">
        <f>SUM(AB40:AB41)</f>
        <v>0</v>
      </c>
      <c r="AC42" s="328"/>
      <c r="AD42" s="328"/>
      <c r="AE42" s="329"/>
      <c r="AL42" s="11"/>
    </row>
    <row r="43" spans="2:46"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6" s="2" customFormat="1" ht="21.95" customHeight="1" thickBot="1" x14ac:dyDescent="0.2">
      <c r="B44" s="4" t="s">
        <v>234</v>
      </c>
      <c r="F44" s="4"/>
    </row>
    <row r="45" spans="2:46" s="2" customFormat="1" ht="21.95" customHeight="1" x14ac:dyDescent="0.15">
      <c r="B45" s="339" t="s">
        <v>49</v>
      </c>
      <c r="C45" s="340"/>
      <c r="D45" s="435" t="s">
        <v>31</v>
      </c>
      <c r="E45" s="436"/>
      <c r="F45" s="436"/>
      <c r="G45" s="436"/>
      <c r="H45" s="436"/>
      <c r="I45" s="4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238</v>
      </c>
    </row>
    <row r="46" spans="2:46" s="2" customFormat="1" ht="21.95" customHeight="1" x14ac:dyDescent="0.15">
      <c r="B46" s="341"/>
      <c r="C46" s="342"/>
      <c r="D46" s="360" t="s">
        <v>42</v>
      </c>
      <c r="E46" s="361"/>
      <c r="F46" s="361"/>
      <c r="G46" s="361"/>
      <c r="H46" s="361"/>
      <c r="I46" s="362"/>
      <c r="J46" s="38"/>
      <c r="K46" s="14"/>
      <c r="L46" s="14"/>
      <c r="M46" s="14"/>
      <c r="N46" s="14"/>
      <c r="O46" s="14"/>
      <c r="P46" s="14"/>
      <c r="Q46" s="14"/>
      <c r="R46" s="14"/>
      <c r="S46" s="14"/>
      <c r="T46" s="14"/>
      <c r="U46" s="14"/>
      <c r="V46" s="14"/>
      <c r="W46" s="14"/>
      <c r="X46" s="14"/>
      <c r="Y46" s="14"/>
      <c r="Z46" s="14"/>
      <c r="AA46" s="347">
        <f>$Z$15+$Z$23+$Z$34</f>
        <v>0</v>
      </c>
      <c r="AB46" s="347"/>
      <c r="AC46" s="347"/>
      <c r="AD46" s="302" t="s">
        <v>261</v>
      </c>
      <c r="AE46" s="303"/>
    </row>
    <row r="47" spans="2:46" s="2" customFormat="1" ht="21.95" customHeight="1" x14ac:dyDescent="0.15">
      <c r="B47" s="341"/>
      <c r="C47" s="342"/>
      <c r="D47" s="360" t="s">
        <v>43</v>
      </c>
      <c r="E47" s="361"/>
      <c r="F47" s="361"/>
      <c r="G47" s="361"/>
      <c r="H47" s="361"/>
      <c r="I47" s="362"/>
      <c r="J47" s="38"/>
      <c r="K47" s="14"/>
      <c r="L47" s="14"/>
      <c r="M47" s="14"/>
      <c r="N47" s="14"/>
      <c r="O47" s="14"/>
      <c r="P47" s="14"/>
      <c r="Q47" s="14"/>
      <c r="R47" s="14"/>
      <c r="S47" s="14"/>
      <c r="T47" s="14"/>
      <c r="U47" s="14"/>
      <c r="V47" s="14"/>
      <c r="W47" s="14"/>
      <c r="X47" s="14"/>
      <c r="Y47" s="14"/>
      <c r="Z47" s="14"/>
      <c r="AA47" s="348">
        <f>IF(共通条件・結果!AA7="８地域","-",$AB$15+$AB$23+$AB$34)</f>
        <v>0</v>
      </c>
      <c r="AB47" s="348"/>
      <c r="AC47" s="348"/>
      <c r="AD47" s="302" t="s">
        <v>261</v>
      </c>
      <c r="AE47" s="303"/>
    </row>
    <row r="48" spans="2:46" s="2" customFormat="1" ht="21.95" customHeight="1" thickBot="1" x14ac:dyDescent="0.2">
      <c r="B48" s="343"/>
      <c r="C48" s="344"/>
      <c r="D48" s="363" t="s">
        <v>12</v>
      </c>
      <c r="E48" s="217"/>
      <c r="F48" s="217"/>
      <c r="G48" s="217"/>
      <c r="H48" s="217"/>
      <c r="I48" s="364"/>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c r="AI48" s="22"/>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9wc6VjiBp8brvfajbQFOqfXZbkNqOC6K0IAVF5MECuQ2I84fHC5WLttkjEMFcG+RIzscu02Rxo7rHbwhnCMyEQ==" saltValue="v4bxElJuOejVHbhm/eG3pw==" spinCount="100000" sheet="1" selectLockedCells="1"/>
  <mergeCells count="277">
    <mergeCell ref="L30:M30"/>
    <mergeCell ref="N30:O30"/>
    <mergeCell ref="P30:Q30"/>
    <mergeCell ref="N29:O29"/>
    <mergeCell ref="T30:U30"/>
    <mergeCell ref="L29:M29"/>
    <mergeCell ref="AB8:AC8"/>
    <mergeCell ref="AD8:AE8"/>
    <mergeCell ref="N9:O9"/>
    <mergeCell ref="N8:O8"/>
    <mergeCell ref="R8:S8"/>
    <mergeCell ref="T8:U8"/>
    <mergeCell ref="V8:W8"/>
    <mergeCell ref="X8:Y8"/>
    <mergeCell ref="Z8:AA8"/>
    <mergeCell ref="P8:Q8"/>
    <mergeCell ref="P9:Q9"/>
    <mergeCell ref="T9:U9"/>
    <mergeCell ref="V9:W9"/>
    <mergeCell ref="X9:Y9"/>
    <mergeCell ref="Z9:AA9"/>
    <mergeCell ref="AB9:AC9"/>
    <mergeCell ref="AD10:AE10"/>
    <mergeCell ref="N11:O11"/>
    <mergeCell ref="D45:I45"/>
    <mergeCell ref="AD26:AE28"/>
    <mergeCell ref="V26:W28"/>
    <mergeCell ref="L26:M28"/>
    <mergeCell ref="N26:O28"/>
    <mergeCell ref="P26:Q28"/>
    <mergeCell ref="R26:S28"/>
    <mergeCell ref="T26:U28"/>
    <mergeCell ref="R29:S29"/>
    <mergeCell ref="T29:U29"/>
    <mergeCell ref="L32:M32"/>
    <mergeCell ref="N32:O32"/>
    <mergeCell ref="P32:Q32"/>
    <mergeCell ref="R32:S32"/>
    <mergeCell ref="T32:U32"/>
    <mergeCell ref="V30:W30"/>
    <mergeCell ref="V32:W32"/>
    <mergeCell ref="X32:Y32"/>
    <mergeCell ref="Z32:AA32"/>
    <mergeCell ref="AB32:AC32"/>
    <mergeCell ref="L31:M31"/>
    <mergeCell ref="N31:O31"/>
    <mergeCell ref="P31:Q31"/>
    <mergeCell ref="AD32:AE32"/>
    <mergeCell ref="B2:AE2"/>
    <mergeCell ref="AI6:AJ6"/>
    <mergeCell ref="AM6:AN6"/>
    <mergeCell ref="B5:C7"/>
    <mergeCell ref="D6:E7"/>
    <mergeCell ref="D5:G5"/>
    <mergeCell ref="H5:I7"/>
    <mergeCell ref="P5:Q7"/>
    <mergeCell ref="J6:K7"/>
    <mergeCell ref="L6:M7"/>
    <mergeCell ref="J5:M5"/>
    <mergeCell ref="V4:Y4"/>
    <mergeCell ref="Z4:AA4"/>
    <mergeCell ref="AB4:AC4"/>
    <mergeCell ref="N5:O7"/>
    <mergeCell ref="F6:G7"/>
    <mergeCell ref="AP6:AQ6"/>
    <mergeCell ref="AS6:AT6"/>
    <mergeCell ref="T7:U7"/>
    <mergeCell ref="V7:W7"/>
    <mergeCell ref="X7:Y7"/>
    <mergeCell ref="R5:Y5"/>
    <mergeCell ref="Z5:AA7"/>
    <mergeCell ref="AB5:AC7"/>
    <mergeCell ref="AD5:AE7"/>
    <mergeCell ref="R6:S7"/>
    <mergeCell ref="T6:Y6"/>
    <mergeCell ref="R11:S11"/>
    <mergeCell ref="N10:O10"/>
    <mergeCell ref="R10:S10"/>
    <mergeCell ref="T10:U10"/>
    <mergeCell ref="V10:W10"/>
    <mergeCell ref="X10:Y10"/>
    <mergeCell ref="Z10:AA10"/>
    <mergeCell ref="P10:Q10"/>
    <mergeCell ref="P11:Q11"/>
    <mergeCell ref="T11:U11"/>
    <mergeCell ref="V11:W11"/>
    <mergeCell ref="X11:Y11"/>
    <mergeCell ref="Z11:AA11"/>
    <mergeCell ref="AB11:AC11"/>
    <mergeCell ref="AD11:AE11"/>
    <mergeCell ref="AD9:AE9"/>
    <mergeCell ref="T13:U13"/>
    <mergeCell ref="V13:W13"/>
    <mergeCell ref="X13:Y13"/>
    <mergeCell ref="B14:C14"/>
    <mergeCell ref="B13:C13"/>
    <mergeCell ref="F13:G13"/>
    <mergeCell ref="P13:Q13"/>
    <mergeCell ref="AD13:AE13"/>
    <mergeCell ref="AB12:AC12"/>
    <mergeCell ref="AD12:AE12"/>
    <mergeCell ref="N13:O13"/>
    <mergeCell ref="R13:S13"/>
    <mergeCell ref="N12:O12"/>
    <mergeCell ref="R12:S12"/>
    <mergeCell ref="T12:U12"/>
    <mergeCell ref="V12:W12"/>
    <mergeCell ref="X12:Y12"/>
    <mergeCell ref="Z12:AA12"/>
    <mergeCell ref="P12:Q12"/>
    <mergeCell ref="Z13:AA13"/>
    <mergeCell ref="AB13:AC13"/>
    <mergeCell ref="D14:E14"/>
    <mergeCell ref="AB10:AC10"/>
    <mergeCell ref="F14:G14"/>
    <mergeCell ref="H14:I14"/>
    <mergeCell ref="B15:Y15"/>
    <mergeCell ref="AD18:AE20"/>
    <mergeCell ref="AB14:AC14"/>
    <mergeCell ref="AD14:AE14"/>
    <mergeCell ref="N14:O14"/>
    <mergeCell ref="R14:S14"/>
    <mergeCell ref="T14:U14"/>
    <mergeCell ref="V14:W14"/>
    <mergeCell ref="X14:Y14"/>
    <mergeCell ref="Z14:AA14"/>
    <mergeCell ref="Z15:AA15"/>
    <mergeCell ref="AB15:AC15"/>
    <mergeCell ref="AD15:AE15"/>
    <mergeCell ref="L14:M14"/>
    <mergeCell ref="P14:Q14"/>
    <mergeCell ref="J14:K14"/>
    <mergeCell ref="B10:C10"/>
    <mergeCell ref="L13:M13"/>
    <mergeCell ref="L11:M11"/>
    <mergeCell ref="L10:M10"/>
    <mergeCell ref="P29:Q29"/>
    <mergeCell ref="AS16:AT16"/>
    <mergeCell ref="Z19:AA20"/>
    <mergeCell ref="AB19:AC20"/>
    <mergeCell ref="AS19:AT19"/>
    <mergeCell ref="X19:Y20"/>
    <mergeCell ref="AI19:AJ19"/>
    <mergeCell ref="X18:AC18"/>
    <mergeCell ref="Z21:AA21"/>
    <mergeCell ref="AB21:AC21"/>
    <mergeCell ref="AD21:AE21"/>
    <mergeCell ref="X21:Y21"/>
    <mergeCell ref="V29:W29"/>
    <mergeCell ref="Z22:AA22"/>
    <mergeCell ref="AB22:AC22"/>
    <mergeCell ref="AD22:AE22"/>
    <mergeCell ref="AI27:AJ27"/>
    <mergeCell ref="Z27:AA28"/>
    <mergeCell ref="AB27:AC28"/>
    <mergeCell ref="X26:AC26"/>
    <mergeCell ref="X27:Y28"/>
    <mergeCell ref="V21:W21"/>
    <mergeCell ref="Z23:AA23"/>
    <mergeCell ref="AB23:AC23"/>
    <mergeCell ref="AD23:AE23"/>
    <mergeCell ref="X29:Y29"/>
    <mergeCell ref="Z29:AA29"/>
    <mergeCell ref="AB29:AC29"/>
    <mergeCell ref="AD29:AE29"/>
    <mergeCell ref="Z30:AA30"/>
    <mergeCell ref="AB30:AC30"/>
    <mergeCell ref="X30:Y30"/>
    <mergeCell ref="R30:S30"/>
    <mergeCell ref="V31:W31"/>
    <mergeCell ref="X31:Y31"/>
    <mergeCell ref="Z31:AA31"/>
    <mergeCell ref="AB31:AC31"/>
    <mergeCell ref="AD31:AE31"/>
    <mergeCell ref="V33:W33"/>
    <mergeCell ref="X33:Y33"/>
    <mergeCell ref="Z33:AA33"/>
    <mergeCell ref="AB33:AC33"/>
    <mergeCell ref="R31:S31"/>
    <mergeCell ref="T31:U31"/>
    <mergeCell ref="AD30:AE30"/>
    <mergeCell ref="B45:C48"/>
    <mergeCell ref="O45:P45"/>
    <mergeCell ref="S45:T45"/>
    <mergeCell ref="W45:X45"/>
    <mergeCell ref="AA46:AC46"/>
    <mergeCell ref="AA47:AC47"/>
    <mergeCell ref="AC45:AD45"/>
    <mergeCell ref="X37:AA39"/>
    <mergeCell ref="T37:W39"/>
    <mergeCell ref="N39:P39"/>
    <mergeCell ref="T40:W40"/>
    <mergeCell ref="T41:W41"/>
    <mergeCell ref="X40:AA40"/>
    <mergeCell ref="X41:AA41"/>
    <mergeCell ref="N40:P40"/>
    <mergeCell ref="N41:P41"/>
    <mergeCell ref="Q40:S40"/>
    <mergeCell ref="Q41:S41"/>
    <mergeCell ref="D46:I46"/>
    <mergeCell ref="D47:I47"/>
    <mergeCell ref="D48:I48"/>
    <mergeCell ref="J45:L45"/>
    <mergeCell ref="AD46:AE46"/>
    <mergeCell ref="AD47:AE47"/>
    <mergeCell ref="L33:M33"/>
    <mergeCell ref="N33:O33"/>
    <mergeCell ref="P33:Q33"/>
    <mergeCell ref="AD33:AE33"/>
    <mergeCell ref="AA48:AC48"/>
    <mergeCell ref="Q39:S39"/>
    <mergeCell ref="N37:S38"/>
    <mergeCell ref="AB37:AE39"/>
    <mergeCell ref="AB40:AE40"/>
    <mergeCell ref="AB41:AE41"/>
    <mergeCell ref="L37:M39"/>
    <mergeCell ref="L40:M40"/>
    <mergeCell ref="L41:M41"/>
    <mergeCell ref="AB42:AE42"/>
    <mergeCell ref="L42:AA42"/>
    <mergeCell ref="L34:Y34"/>
    <mergeCell ref="Z34:AA34"/>
    <mergeCell ref="AB34:AC34"/>
    <mergeCell ref="AD34:AE34"/>
    <mergeCell ref="R33:S33"/>
    <mergeCell ref="T33:U33"/>
    <mergeCell ref="B9:C9"/>
    <mergeCell ref="B8:C8"/>
    <mergeCell ref="D13:E13"/>
    <mergeCell ref="D12:E12"/>
    <mergeCell ref="D11:E11"/>
    <mergeCell ref="D10:E10"/>
    <mergeCell ref="D9:E9"/>
    <mergeCell ref="D8:E8"/>
    <mergeCell ref="B12:C12"/>
    <mergeCell ref="B11:C11"/>
    <mergeCell ref="L9:M9"/>
    <mergeCell ref="F12:G12"/>
    <mergeCell ref="F11:G11"/>
    <mergeCell ref="F10:G10"/>
    <mergeCell ref="F9:G9"/>
    <mergeCell ref="F8:G8"/>
    <mergeCell ref="H13:I13"/>
    <mergeCell ref="H11:I11"/>
    <mergeCell ref="H10:I10"/>
    <mergeCell ref="H9:I9"/>
    <mergeCell ref="J13:K13"/>
    <mergeCell ref="J11:K11"/>
    <mergeCell ref="J10:K10"/>
    <mergeCell ref="J9:K9"/>
    <mergeCell ref="H12:I12"/>
    <mergeCell ref="J12:K12"/>
    <mergeCell ref="L12:M12"/>
    <mergeCell ref="L22:M22"/>
    <mergeCell ref="N22:O22"/>
    <mergeCell ref="P22:Q22"/>
    <mergeCell ref="R22:S22"/>
    <mergeCell ref="T22:U22"/>
    <mergeCell ref="V22:W22"/>
    <mergeCell ref="L23:Y23"/>
    <mergeCell ref="H8:I8"/>
    <mergeCell ref="J8:K8"/>
    <mergeCell ref="L8:M8"/>
    <mergeCell ref="X22:Y22"/>
    <mergeCell ref="R9:S9"/>
    <mergeCell ref="L18:M20"/>
    <mergeCell ref="N18:Q19"/>
    <mergeCell ref="R18:S20"/>
    <mergeCell ref="T18:U20"/>
    <mergeCell ref="V18:W20"/>
    <mergeCell ref="N20:O20"/>
    <mergeCell ref="P20:Q20"/>
    <mergeCell ref="L21:M21"/>
    <mergeCell ref="N21:O21"/>
    <mergeCell ref="P21:Q21"/>
    <mergeCell ref="R21:S21"/>
    <mergeCell ref="T21:U21"/>
  </mergeCells>
  <phoneticPr fontId="4"/>
  <conditionalFormatting sqref="B8:Y14">
    <cfRule type="expression" dxfId="211" priority="183" stopIfTrue="1">
      <formula>$AH$3&lt;&gt;2</formula>
    </cfRule>
  </conditionalFormatting>
  <conditionalFormatting sqref="J45">
    <cfRule type="expression" dxfId="210" priority="1320" stopIfTrue="1">
      <formula>$J$45=0</formula>
    </cfRule>
  </conditionalFormatting>
  <conditionalFormatting sqref="J45:L45">
    <cfRule type="expression" dxfId="209" priority="359">
      <formula>$AH$3&lt;&gt;2</formula>
    </cfRule>
  </conditionalFormatting>
  <conditionalFormatting sqref="L29:Q33">
    <cfRule type="expression" dxfId="208" priority="101" stopIfTrue="1">
      <formula>$AH$3&lt;&gt;2</formula>
    </cfRule>
  </conditionalFormatting>
  <conditionalFormatting sqref="L21:Y22">
    <cfRule type="expression" dxfId="207" priority="155" stopIfTrue="1">
      <formula>$AH$3&lt;&gt;2</formula>
    </cfRule>
  </conditionalFormatting>
  <conditionalFormatting sqref="L40:AA41">
    <cfRule type="expression" dxfId="206" priority="63" stopIfTrue="1">
      <formula>$AH$3&lt;&gt;2</formula>
    </cfRule>
  </conditionalFormatting>
  <conditionalFormatting sqref="O45:P45">
    <cfRule type="expression" dxfId="205" priority="358">
      <formula>$AH$3&lt;&gt;2</formula>
    </cfRule>
    <cfRule type="expression" dxfId="204" priority="1322" stopIfTrue="1">
      <formula>$O$45=0</formula>
    </cfRule>
  </conditionalFormatting>
  <conditionalFormatting sqref="R29:S33">
    <cfRule type="expression" dxfId="203" priority="11">
      <formula>$AH$3&lt;&gt;2</formula>
    </cfRule>
  </conditionalFormatting>
  <conditionalFormatting sqref="S45:T45">
    <cfRule type="expression" dxfId="202" priority="357">
      <formula>$AH$3&lt;&gt;2</formula>
    </cfRule>
    <cfRule type="expression" dxfId="201" priority="1287" stopIfTrue="1">
      <formula>$S$45=0</formula>
    </cfRule>
  </conditionalFormatting>
  <conditionalFormatting sqref="T8:Y14">
    <cfRule type="expression" dxfId="200" priority="351">
      <formula>$AL8=TRUE</formula>
    </cfRule>
  </conditionalFormatting>
  <conditionalFormatting sqref="T29:Y33">
    <cfRule type="expression" dxfId="199" priority="95" stopIfTrue="1">
      <formula>$AH$3&lt;&gt;2</formula>
    </cfRule>
  </conditionalFormatting>
  <conditionalFormatting sqref="W45:X45">
    <cfRule type="expression" dxfId="198" priority="356">
      <formula>$AH$3&lt;&gt;2</formula>
    </cfRule>
  </conditionalFormatting>
  <conditionalFormatting sqref="Z4:AC4">
    <cfRule type="expression" dxfId="197" priority="61">
      <formula>$AH$3&lt;&gt;2</formula>
    </cfRule>
  </conditionalFormatting>
  <conditionalFormatting sqref="Z8:AE15">
    <cfRule type="expression" dxfId="196" priority="37">
      <formula>$AH$3&lt;&gt;2</formula>
    </cfRule>
  </conditionalFormatting>
  <conditionalFormatting sqref="Z21:AE23">
    <cfRule type="expression" dxfId="195" priority="28">
      <formula>$AH$3&lt;&gt;2</formula>
    </cfRule>
  </conditionalFormatting>
  <conditionalFormatting sqref="Z29:AE34">
    <cfRule type="expression" dxfId="194" priority="5">
      <formula>$AH$3&lt;&gt;2</formula>
    </cfRule>
  </conditionalFormatting>
  <conditionalFormatting sqref="AA46:AC48">
    <cfRule type="expression" dxfId="193" priority="1">
      <formula>$AH$3&lt;&gt;2</formula>
    </cfRule>
  </conditionalFormatting>
  <conditionalFormatting sqref="AB40:AE41">
    <cfRule type="expression" dxfId="192" priority="3">
      <formula>$AH$3&lt;&gt;2</formula>
    </cfRule>
  </conditionalFormatting>
  <conditionalFormatting sqref="AC45:AD45">
    <cfRule type="expression" dxfId="191" priority="355">
      <formula>$AH$3&lt;&gt;2</formula>
    </cfRule>
  </conditionalFormatting>
  <conditionalFormatting sqref="AE8:AE14">
    <cfRule type="expression" dxfId="190" priority="395">
      <formula>$AH$3&lt;&gt;2</formula>
    </cfRule>
  </conditionalFormatting>
  <conditionalFormatting sqref="AE40:AE42">
    <cfRule type="expression" dxfId="189" priority="360">
      <formula>$AH$3&lt;&gt;2</formula>
    </cfRule>
  </conditionalFormatting>
  <dataValidations count="3">
    <dataValidation type="list" allowBlank="1" showInputMessage="1" showErrorMessage="1" sqref="N8:N14 T21:T22" xr:uid="{00000000-0002-0000-0100-000000000000}">
      <formula1>"　,雨戸,ｼｬｯﾀｰ,障子,風除室"</formula1>
    </dataValidation>
    <dataValidation type="list" showInputMessage="1" showErrorMessage="1" sqref="V29:W33 X40:X41 P8:Q14 V21:W22" xr:uid="{00000000-0002-0000-0100-000001000000}">
      <formula1>"1.0,0.7,0.05,0.15,0"</formula1>
    </dataValidation>
    <dataValidation type="list" allowBlank="1" showInputMessage="1" showErrorMessage="1" sqref="T40:T41" xr:uid="{00000000-0002-0000-01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Check Box 1">
              <controlPr defaultSize="0" autoFill="0" autoLine="0" autoPict="0">
                <anchor moveWithCells="1">
                  <from>
                    <xdr:col>17</xdr:col>
                    <xdr:colOff>190500</xdr:colOff>
                    <xdr:row>7</xdr:row>
                    <xdr:rowOff>47625</xdr:rowOff>
                  </from>
                  <to>
                    <xdr:col>18</xdr:col>
                    <xdr:colOff>133350</xdr:colOff>
                    <xdr:row>7</xdr:row>
                    <xdr:rowOff>247650</xdr:rowOff>
                  </to>
                </anchor>
              </controlPr>
            </control>
          </mc:Choice>
        </mc:AlternateContent>
        <mc:AlternateContent xmlns:mc="http://schemas.openxmlformats.org/markup-compatibility/2006">
          <mc:Choice Requires="x14">
            <control shapeId="118786" r:id="rId5" name="Check Box 2">
              <controlPr defaultSize="0" autoFill="0" autoLine="0" autoPict="0">
                <anchor moveWithCells="1">
                  <from>
                    <xdr:col>17</xdr:col>
                    <xdr:colOff>190500</xdr:colOff>
                    <xdr:row>8</xdr:row>
                    <xdr:rowOff>47625</xdr:rowOff>
                  </from>
                  <to>
                    <xdr:col>18</xdr:col>
                    <xdr:colOff>133350</xdr:colOff>
                    <xdr:row>9</xdr:row>
                    <xdr:rowOff>0</xdr:rowOff>
                  </to>
                </anchor>
              </controlPr>
            </control>
          </mc:Choice>
        </mc:AlternateContent>
        <mc:AlternateContent xmlns:mc="http://schemas.openxmlformats.org/markup-compatibility/2006">
          <mc:Choice Requires="x14">
            <control shapeId="118787" r:id="rId6" name="Check Box 3">
              <controlPr defaultSize="0" autoFill="0" autoLine="0" autoPict="0">
                <anchor moveWithCells="1">
                  <from>
                    <xdr:col>17</xdr:col>
                    <xdr:colOff>190500</xdr:colOff>
                    <xdr:row>11</xdr:row>
                    <xdr:rowOff>47625</xdr:rowOff>
                  </from>
                  <to>
                    <xdr:col>18</xdr:col>
                    <xdr:colOff>152400</xdr:colOff>
                    <xdr:row>11</xdr:row>
                    <xdr:rowOff>247650</xdr:rowOff>
                  </to>
                </anchor>
              </controlPr>
            </control>
          </mc:Choice>
        </mc:AlternateContent>
        <mc:AlternateContent xmlns:mc="http://schemas.openxmlformats.org/markup-compatibility/2006">
          <mc:Choice Requires="x14">
            <control shapeId="118788" r:id="rId7" name="Check Box 4">
              <controlPr defaultSize="0" autoFill="0" autoLine="0" autoPict="0">
                <anchor moveWithCells="1">
                  <from>
                    <xdr:col>17</xdr:col>
                    <xdr:colOff>190500</xdr:colOff>
                    <xdr:row>12</xdr:row>
                    <xdr:rowOff>38100</xdr:rowOff>
                  </from>
                  <to>
                    <xdr:col>18</xdr:col>
                    <xdr:colOff>123825</xdr:colOff>
                    <xdr:row>12</xdr:row>
                    <xdr:rowOff>247650</xdr:rowOff>
                  </to>
                </anchor>
              </controlPr>
            </control>
          </mc:Choice>
        </mc:AlternateContent>
        <mc:AlternateContent xmlns:mc="http://schemas.openxmlformats.org/markup-compatibility/2006">
          <mc:Choice Requires="x14">
            <control shapeId="118789" r:id="rId8" name="Check Box 5">
              <controlPr defaultSize="0" autoFill="0" autoLine="0" autoPict="0">
                <anchor moveWithCells="1">
                  <from>
                    <xdr:col>17</xdr:col>
                    <xdr:colOff>190500</xdr:colOff>
                    <xdr:row>13</xdr:row>
                    <xdr:rowOff>47625</xdr:rowOff>
                  </from>
                  <to>
                    <xdr:col>18</xdr:col>
                    <xdr:colOff>152400</xdr:colOff>
                    <xdr:row>14</xdr:row>
                    <xdr:rowOff>9525</xdr:rowOff>
                  </to>
                </anchor>
              </controlPr>
            </control>
          </mc:Choice>
        </mc:AlternateContent>
        <mc:AlternateContent xmlns:mc="http://schemas.openxmlformats.org/markup-compatibility/2006">
          <mc:Choice Requires="x14">
            <control shapeId="118790" r:id="rId9" name="Check Box 6">
              <controlPr defaultSize="0" autoFill="0" autoLine="0" autoPict="0">
                <anchor moveWithCells="1">
                  <from>
                    <xdr:col>23</xdr:col>
                    <xdr:colOff>190500</xdr:colOff>
                    <xdr:row>28</xdr:row>
                    <xdr:rowOff>47625</xdr:rowOff>
                  </from>
                  <to>
                    <xdr:col>24</xdr:col>
                    <xdr:colOff>133350</xdr:colOff>
                    <xdr:row>29</xdr:row>
                    <xdr:rowOff>28575</xdr:rowOff>
                  </to>
                </anchor>
              </controlPr>
            </control>
          </mc:Choice>
        </mc:AlternateContent>
        <mc:AlternateContent xmlns:mc="http://schemas.openxmlformats.org/markup-compatibility/2006">
          <mc:Choice Requires="x14">
            <control shapeId="118791" r:id="rId10" name="Check Box 7">
              <controlPr defaultSize="0" autoFill="0" autoLine="0" autoPict="0">
                <anchor moveWithCells="1">
                  <from>
                    <xdr:col>23</xdr:col>
                    <xdr:colOff>190500</xdr:colOff>
                    <xdr:row>29</xdr:row>
                    <xdr:rowOff>47625</xdr:rowOff>
                  </from>
                  <to>
                    <xdr:col>24</xdr:col>
                    <xdr:colOff>152400</xdr:colOff>
                    <xdr:row>30</xdr:row>
                    <xdr:rowOff>0</xdr:rowOff>
                  </to>
                </anchor>
              </controlPr>
            </control>
          </mc:Choice>
        </mc:AlternateContent>
        <mc:AlternateContent xmlns:mc="http://schemas.openxmlformats.org/markup-compatibility/2006">
          <mc:Choice Requires="x14">
            <control shapeId="118792" r:id="rId11" name="Check Box 8">
              <controlPr defaultSize="0" autoFill="0" autoLine="0" autoPict="0">
                <anchor moveWithCells="1">
                  <from>
                    <xdr:col>23</xdr:col>
                    <xdr:colOff>190500</xdr:colOff>
                    <xdr:row>32</xdr:row>
                    <xdr:rowOff>38100</xdr:rowOff>
                  </from>
                  <to>
                    <xdr:col>24</xdr:col>
                    <xdr:colOff>104775</xdr:colOff>
                    <xdr:row>32</xdr:row>
                    <xdr:rowOff>257175</xdr:rowOff>
                  </to>
                </anchor>
              </controlPr>
            </control>
          </mc:Choice>
        </mc:AlternateContent>
        <mc:AlternateContent xmlns:mc="http://schemas.openxmlformats.org/markup-compatibility/2006">
          <mc:Choice Requires="x14">
            <control shapeId="118793" r:id="rId12" name="Check Box 9">
              <controlPr defaultSize="0" autoFill="0" autoLine="0" autoPict="0">
                <anchor moveWithCells="1">
                  <from>
                    <xdr:col>17</xdr:col>
                    <xdr:colOff>190500</xdr:colOff>
                    <xdr:row>9</xdr:row>
                    <xdr:rowOff>47625</xdr:rowOff>
                  </from>
                  <to>
                    <xdr:col>18</xdr:col>
                    <xdr:colOff>180975</xdr:colOff>
                    <xdr:row>10</xdr:row>
                    <xdr:rowOff>0</xdr:rowOff>
                  </to>
                </anchor>
              </controlPr>
            </control>
          </mc:Choice>
        </mc:AlternateContent>
        <mc:AlternateContent xmlns:mc="http://schemas.openxmlformats.org/markup-compatibility/2006">
          <mc:Choice Requires="x14">
            <control shapeId="118794" r:id="rId13" name="Check Box 10">
              <controlPr defaultSize="0" autoFill="0" autoLine="0" autoPict="0">
                <anchor moveWithCells="1">
                  <from>
                    <xdr:col>17</xdr:col>
                    <xdr:colOff>190500</xdr:colOff>
                    <xdr:row>10</xdr:row>
                    <xdr:rowOff>47625</xdr:rowOff>
                  </from>
                  <to>
                    <xdr:col>18</xdr:col>
                    <xdr:colOff>152400</xdr:colOff>
                    <xdr:row>10</xdr:row>
                    <xdr:rowOff>247650</xdr:rowOff>
                  </to>
                </anchor>
              </controlPr>
            </control>
          </mc:Choice>
        </mc:AlternateContent>
        <mc:AlternateContent xmlns:mc="http://schemas.openxmlformats.org/markup-compatibility/2006">
          <mc:Choice Requires="x14">
            <control shapeId="118795" r:id="rId14" name="Check Box 11">
              <controlPr defaultSize="0" autoFill="0" autoLine="0" autoPict="0">
                <anchor moveWithCells="1">
                  <from>
                    <xdr:col>23</xdr:col>
                    <xdr:colOff>190500</xdr:colOff>
                    <xdr:row>30</xdr:row>
                    <xdr:rowOff>47625</xdr:rowOff>
                  </from>
                  <to>
                    <xdr:col>24</xdr:col>
                    <xdr:colOff>133350</xdr:colOff>
                    <xdr:row>30</xdr:row>
                    <xdr:rowOff>257175</xdr:rowOff>
                  </to>
                </anchor>
              </controlPr>
            </control>
          </mc:Choice>
        </mc:AlternateContent>
        <mc:AlternateContent xmlns:mc="http://schemas.openxmlformats.org/markup-compatibility/2006">
          <mc:Choice Requires="x14">
            <control shapeId="118796" r:id="rId15" name="Check Box 12">
              <controlPr defaultSize="0" autoFill="0" autoLine="0" autoPict="0">
                <anchor moveWithCells="1">
                  <from>
                    <xdr:col>23</xdr:col>
                    <xdr:colOff>190500</xdr:colOff>
                    <xdr:row>31</xdr:row>
                    <xdr:rowOff>47625</xdr:rowOff>
                  </from>
                  <to>
                    <xdr:col>24</xdr:col>
                    <xdr:colOff>123825</xdr:colOff>
                    <xdr:row>31</xdr:row>
                    <xdr:rowOff>247650</xdr:rowOff>
                  </to>
                </anchor>
              </controlPr>
            </control>
          </mc:Choice>
        </mc:AlternateContent>
        <mc:AlternateContent xmlns:mc="http://schemas.openxmlformats.org/markup-compatibility/2006">
          <mc:Choice Requires="x14">
            <control shapeId="118798" r:id="rId16" name="Check Box 14">
              <controlPr defaultSize="0" autoFill="0" autoLine="0" autoPict="0">
                <anchor moveWithCells="1">
                  <from>
                    <xdr:col>23</xdr:col>
                    <xdr:colOff>190500</xdr:colOff>
                    <xdr:row>20</xdr:row>
                    <xdr:rowOff>47625</xdr:rowOff>
                  </from>
                  <to>
                    <xdr:col>24</xdr:col>
                    <xdr:colOff>104775</xdr:colOff>
                    <xdr:row>20</xdr:row>
                    <xdr:rowOff>257175</xdr:rowOff>
                  </to>
                </anchor>
              </controlPr>
            </control>
          </mc:Choice>
        </mc:AlternateContent>
        <mc:AlternateContent xmlns:mc="http://schemas.openxmlformats.org/markup-compatibility/2006">
          <mc:Choice Requires="x14">
            <control shapeId="118799" r:id="rId17" name="Check Box 15">
              <controlPr defaultSize="0" autoFill="0" autoLine="0" autoPict="0">
                <anchor moveWithCells="1">
                  <from>
                    <xdr:col>23</xdr:col>
                    <xdr:colOff>190500</xdr:colOff>
                    <xdr:row>21</xdr:row>
                    <xdr:rowOff>47625</xdr:rowOff>
                  </from>
                  <to>
                    <xdr:col>24</xdr:col>
                    <xdr:colOff>152400</xdr:colOff>
                    <xdr:row>21</xdr:row>
                    <xdr:rowOff>257175</xdr:rowOff>
                  </to>
                </anchor>
              </controlPr>
            </control>
          </mc:Choice>
        </mc:AlternateContent>
        <mc:AlternateContent xmlns:mc="http://schemas.openxmlformats.org/markup-compatibility/2006">
          <mc:Choice Requires="x14">
            <control shapeId="118826" r:id="rId18" name="Check Box 42">
              <controlPr defaultSize="0" autoFill="0" autoLine="0" autoPict="0">
                <anchor moveWithCells="1">
                  <from>
                    <xdr:col>9</xdr:col>
                    <xdr:colOff>190500</xdr:colOff>
                    <xdr:row>7</xdr:row>
                    <xdr:rowOff>47625</xdr:rowOff>
                  </from>
                  <to>
                    <xdr:col>10</xdr:col>
                    <xdr:colOff>133350</xdr:colOff>
                    <xdr:row>7</xdr:row>
                    <xdr:rowOff>257175</xdr:rowOff>
                  </to>
                </anchor>
              </controlPr>
            </control>
          </mc:Choice>
        </mc:AlternateContent>
        <mc:AlternateContent xmlns:mc="http://schemas.openxmlformats.org/markup-compatibility/2006">
          <mc:Choice Requires="x14">
            <control shapeId="118827" r:id="rId19" name="Check Box 43">
              <controlPr defaultSize="0" autoFill="0" autoLine="0" autoPict="0">
                <anchor moveWithCells="1">
                  <from>
                    <xdr:col>9</xdr:col>
                    <xdr:colOff>190500</xdr:colOff>
                    <xdr:row>8</xdr:row>
                    <xdr:rowOff>47625</xdr:rowOff>
                  </from>
                  <to>
                    <xdr:col>10</xdr:col>
                    <xdr:colOff>180975</xdr:colOff>
                    <xdr:row>8</xdr:row>
                    <xdr:rowOff>247650</xdr:rowOff>
                  </to>
                </anchor>
              </controlPr>
            </control>
          </mc:Choice>
        </mc:AlternateContent>
        <mc:AlternateContent xmlns:mc="http://schemas.openxmlformats.org/markup-compatibility/2006">
          <mc:Choice Requires="x14">
            <control shapeId="118828" r:id="rId20" name="Check Box 44">
              <controlPr defaultSize="0" autoFill="0" autoLine="0" autoPict="0">
                <anchor moveWithCells="1">
                  <from>
                    <xdr:col>9</xdr:col>
                    <xdr:colOff>190500</xdr:colOff>
                    <xdr:row>9</xdr:row>
                    <xdr:rowOff>47625</xdr:rowOff>
                  </from>
                  <to>
                    <xdr:col>10</xdr:col>
                    <xdr:colOff>152400</xdr:colOff>
                    <xdr:row>9</xdr:row>
                    <xdr:rowOff>247650</xdr:rowOff>
                  </to>
                </anchor>
              </controlPr>
            </control>
          </mc:Choice>
        </mc:AlternateContent>
        <mc:AlternateContent xmlns:mc="http://schemas.openxmlformats.org/markup-compatibility/2006">
          <mc:Choice Requires="x14">
            <control shapeId="118829" r:id="rId21" name="Check Box 45">
              <controlPr defaultSize="0" autoFill="0" autoLine="0" autoPict="0">
                <anchor moveWithCells="1">
                  <from>
                    <xdr:col>9</xdr:col>
                    <xdr:colOff>190500</xdr:colOff>
                    <xdr:row>10</xdr:row>
                    <xdr:rowOff>47625</xdr:rowOff>
                  </from>
                  <to>
                    <xdr:col>10</xdr:col>
                    <xdr:colOff>180975</xdr:colOff>
                    <xdr:row>10</xdr:row>
                    <xdr:rowOff>257175</xdr:rowOff>
                  </to>
                </anchor>
              </controlPr>
            </control>
          </mc:Choice>
        </mc:AlternateContent>
        <mc:AlternateContent xmlns:mc="http://schemas.openxmlformats.org/markup-compatibility/2006">
          <mc:Choice Requires="x14">
            <control shapeId="118830" r:id="rId22" name="Check Box 46">
              <controlPr defaultSize="0" autoFill="0" autoLine="0" autoPict="0">
                <anchor moveWithCells="1">
                  <from>
                    <xdr:col>9</xdr:col>
                    <xdr:colOff>190500</xdr:colOff>
                    <xdr:row>13</xdr:row>
                    <xdr:rowOff>38100</xdr:rowOff>
                  </from>
                  <to>
                    <xdr:col>10</xdr:col>
                    <xdr:colOff>133350</xdr:colOff>
                    <xdr:row>13</xdr:row>
                    <xdr:rowOff>247650</xdr:rowOff>
                  </to>
                </anchor>
              </controlPr>
            </control>
          </mc:Choice>
        </mc:AlternateContent>
        <mc:AlternateContent xmlns:mc="http://schemas.openxmlformats.org/markup-compatibility/2006">
          <mc:Choice Requires="x14">
            <control shapeId="118831" r:id="rId23" name="Check Box 47">
              <controlPr defaultSize="0" autoFill="0" autoLine="0" autoPict="0">
                <anchor moveWithCells="1">
                  <from>
                    <xdr:col>9</xdr:col>
                    <xdr:colOff>190500</xdr:colOff>
                    <xdr:row>11</xdr:row>
                    <xdr:rowOff>47625</xdr:rowOff>
                  </from>
                  <to>
                    <xdr:col>10</xdr:col>
                    <xdr:colOff>152400</xdr:colOff>
                    <xdr:row>11</xdr:row>
                    <xdr:rowOff>247650</xdr:rowOff>
                  </to>
                </anchor>
              </controlPr>
            </control>
          </mc:Choice>
        </mc:AlternateContent>
        <mc:AlternateContent xmlns:mc="http://schemas.openxmlformats.org/markup-compatibility/2006">
          <mc:Choice Requires="x14">
            <control shapeId="118832" r:id="rId24" name="Check Box 48">
              <controlPr defaultSize="0" autoFill="0" autoLine="0" autoPict="0">
                <anchor moveWithCells="1">
                  <from>
                    <xdr:col>9</xdr:col>
                    <xdr:colOff>190500</xdr:colOff>
                    <xdr:row>12</xdr:row>
                    <xdr:rowOff>47625</xdr:rowOff>
                  </from>
                  <to>
                    <xdr:col>10</xdr:col>
                    <xdr:colOff>161925</xdr:colOff>
                    <xdr:row>12</xdr:row>
                    <xdr:rowOff>228600</xdr:rowOff>
                  </to>
                </anchor>
              </controlPr>
            </control>
          </mc:Choice>
        </mc:AlternateContent>
        <mc:AlternateContent xmlns:mc="http://schemas.openxmlformats.org/markup-compatibility/2006">
          <mc:Choice Requires="x14">
            <control shapeId="118853" r:id="rId25" name="Check Box 69">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18858" r:id="rId26" name="Check Box 74">
              <controlPr defaultSize="0" autoFill="0" autoLine="0" autoPict="0">
                <anchor moveWithCells="1">
                  <from>
                    <xdr:col>23</xdr:col>
                    <xdr:colOff>190500</xdr:colOff>
                    <xdr:row>20</xdr:row>
                    <xdr:rowOff>47625</xdr:rowOff>
                  </from>
                  <to>
                    <xdr:col>24</xdr:col>
                    <xdr:colOff>114300</xdr:colOff>
                    <xdr:row>20</xdr:row>
                    <xdr:rowOff>257175</xdr:rowOff>
                  </to>
                </anchor>
              </controlPr>
            </control>
          </mc:Choice>
        </mc:AlternateContent>
        <mc:AlternateContent xmlns:mc="http://schemas.openxmlformats.org/markup-compatibility/2006">
          <mc:Choice Requires="x14">
            <control shapeId="118859" r:id="rId27" name="Check Box 75">
              <controlPr defaultSize="0" autoFill="0" autoLine="0" autoPict="0">
                <anchor moveWithCells="1">
                  <from>
                    <xdr:col>23</xdr:col>
                    <xdr:colOff>190500</xdr:colOff>
                    <xdr:row>21</xdr:row>
                    <xdr:rowOff>47625</xdr:rowOff>
                  </from>
                  <to>
                    <xdr:col>24</xdr:col>
                    <xdr:colOff>142875</xdr:colOff>
                    <xdr:row>21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T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150</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0.414",IF(共通条件・結果!AA7="７地域",0.415,IF(共通条件・結果!AA7="６地域",0.431,IF(共通条件・結果!AA7="５地域",0.437,IF(共通条件・結果!AA7="４地域",0.426,IF(共通条件・結果!AA7="３地域",0.39,IF(共通条件・結果!AA7="２地域",0.412,IF(共通条件・結果!AA7="１地域",0.43))))))))</f>
        <v>0.39</v>
      </c>
      <c r="AA4" s="429"/>
      <c r="AB4" s="430">
        <f>IF(共通条件・結果!AA7="８地域","-",IF(共通条件・結果!AA7="７地域",0.281,IF(共通条件・結果!AA7="６地域",0.325,IF(共通条件・結果!AA7="５地域",0.31,IF(共通条件・結果!AA7="４地域",0.33,IF(共通条件・結果!AA7="３地域",0.348,IF(共通条件・結果!AA7="２地域",0.341,IF(共通条件・結果!AA7="１地域",0.333))))))))</f>
        <v>0.34799999999999998</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89"/>
      <c r="E8" s="299"/>
      <c r="F8" s="291"/>
      <c r="G8" s="290"/>
      <c r="H8" s="289"/>
      <c r="I8" s="290"/>
      <c r="J8" s="293"/>
      <c r="K8" s="294"/>
      <c r="L8" s="289"/>
      <c r="M8" s="290"/>
      <c r="N8" s="245"/>
      <c r="O8" s="246"/>
      <c r="P8" s="409"/>
      <c r="Q8" s="410"/>
      <c r="R8" s="461"/>
      <c r="S8" s="462"/>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 t="shared" ref="AP8:AP14" si="5">0.01*(16+24*(2*V8+X8)/T8)</f>
        <v>#DIV/0!</v>
      </c>
      <c r="AQ8" s="2" t="e">
        <f t="shared" ref="AQ8:AQ14" si="6">0.01*(10+15*(2*V8+X8)/T8)</f>
        <v>#DIV/0!</v>
      </c>
      <c r="AS8" s="2">
        <f>IF(AT8="FALSE",H8,IF(N8="風除室",1/((1/H8)+0.1),0.5*H8+0.5*(1/((1/H8)+AT8))))</f>
        <v>0</v>
      </c>
      <c r="AT8" s="11" t="str">
        <f t="shared" ref="AT8:AT14" si="7">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409"/>
      <c r="Q9" s="410"/>
      <c r="R9" s="293"/>
      <c r="S9" s="460"/>
      <c r="T9" s="404"/>
      <c r="U9" s="405"/>
      <c r="V9" s="404"/>
      <c r="W9" s="406"/>
      <c r="X9" s="407"/>
      <c r="Y9" s="408"/>
      <c r="Z9" s="365" t="str">
        <f t="shared" si="0"/>
        <v/>
      </c>
      <c r="AA9" s="365"/>
      <c r="AB9" s="365" t="str">
        <f t="shared" si="1"/>
        <v/>
      </c>
      <c r="AC9" s="365"/>
      <c r="AD9" s="365" t="str">
        <f t="shared" si="2"/>
        <v/>
      </c>
      <c r="AE9" s="403"/>
      <c r="AH9" s="12" t="b">
        <v>1</v>
      </c>
      <c r="AI9" s="2">
        <f t="shared" si="3"/>
        <v>0</v>
      </c>
      <c r="AJ9" s="2">
        <f t="shared" si="4"/>
        <v>0</v>
      </c>
      <c r="AL9" s="12" t="b">
        <v>1</v>
      </c>
      <c r="AM9" s="2" t="str">
        <f t="shared" ref="AM9:AM14" si="8">IF(AL9=TRUE,"0.93",IF(ISERROR(AP9),"エラー",IF(AP9&gt;0.93,"0.93",AP9)))</f>
        <v>0.93</v>
      </c>
      <c r="AN9" s="2" t="str">
        <f t="shared" ref="AN9:AN14" si="9">IF(AL9=TRUE,"0.51",IF(ISERROR(AQ9),"エラー",IF(AQ9&gt;0.72,"0.72",AQ9)))</f>
        <v>0.51</v>
      </c>
      <c r="AP9" s="2" t="e">
        <f t="shared" si="5"/>
        <v>#DIV/0!</v>
      </c>
      <c r="AQ9" s="2" t="e">
        <f t="shared" si="6"/>
        <v>#DIV/0!</v>
      </c>
      <c r="AS9" s="2">
        <f t="shared" ref="AS9:AS14" si="10">IF(AT9="FALSE",H9,IF(N9="風除室",1/((1/H9)+0.1),0.5*H9+0.5*(1/((1/H9)+AT9))))</f>
        <v>0</v>
      </c>
      <c r="AT9" s="11" t="str">
        <f t="shared" si="7"/>
        <v>FALSE</v>
      </c>
    </row>
    <row r="10" spans="2:46" s="2" customFormat="1" ht="21.95" customHeight="1" x14ac:dyDescent="0.15">
      <c r="B10" s="295"/>
      <c r="C10" s="296"/>
      <c r="D10" s="289"/>
      <c r="E10" s="299"/>
      <c r="F10" s="291"/>
      <c r="G10" s="290"/>
      <c r="H10" s="289"/>
      <c r="I10" s="290"/>
      <c r="J10" s="293"/>
      <c r="K10" s="294"/>
      <c r="L10" s="289"/>
      <c r="M10" s="290"/>
      <c r="N10" s="245"/>
      <c r="O10" s="246"/>
      <c r="P10" s="409"/>
      <c r="Q10" s="410"/>
      <c r="R10" s="293"/>
      <c r="S10" s="460"/>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8"/>
        <v>0.93</v>
      </c>
      <c r="AN10" s="2" t="str">
        <f t="shared" si="9"/>
        <v>0.51</v>
      </c>
      <c r="AP10" s="2" t="e">
        <f t="shared" si="5"/>
        <v>#DIV/0!</v>
      </c>
      <c r="AQ10" s="2" t="e">
        <f t="shared" si="6"/>
        <v>#DIV/0!</v>
      </c>
      <c r="AS10" s="2">
        <f t="shared" si="10"/>
        <v>0</v>
      </c>
      <c r="AT10" s="11" t="str">
        <f t="shared" si="7"/>
        <v>FALSE</v>
      </c>
    </row>
    <row r="11" spans="2:46" s="2" customFormat="1" ht="21.95" customHeight="1" x14ac:dyDescent="0.15">
      <c r="B11" s="295"/>
      <c r="C11" s="296"/>
      <c r="D11" s="289"/>
      <c r="E11" s="299"/>
      <c r="F11" s="291"/>
      <c r="G11" s="290"/>
      <c r="H11" s="289"/>
      <c r="I11" s="290"/>
      <c r="J11" s="293"/>
      <c r="K11" s="294"/>
      <c r="L11" s="289"/>
      <c r="M11" s="290"/>
      <c r="N11" s="245"/>
      <c r="O11" s="246"/>
      <c r="P11" s="409"/>
      <c r="Q11" s="410"/>
      <c r="R11" s="293"/>
      <c r="S11" s="460"/>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8"/>
        <v>0.93</v>
      </c>
      <c r="AN11" s="2" t="str">
        <f t="shared" si="9"/>
        <v>0.51</v>
      </c>
      <c r="AP11" s="2" t="e">
        <f t="shared" si="5"/>
        <v>#DIV/0!</v>
      </c>
      <c r="AQ11" s="2" t="e">
        <f t="shared" si="6"/>
        <v>#DIV/0!</v>
      </c>
      <c r="AS11" s="2">
        <f t="shared" si="10"/>
        <v>0</v>
      </c>
      <c r="AT11" s="11" t="str">
        <f t="shared" si="7"/>
        <v>FALSE</v>
      </c>
    </row>
    <row r="12" spans="2:46" s="2" customFormat="1" ht="21.95" customHeight="1" x14ac:dyDescent="0.15">
      <c r="B12" s="295"/>
      <c r="C12" s="296"/>
      <c r="D12" s="289"/>
      <c r="E12" s="299"/>
      <c r="F12" s="291"/>
      <c r="G12" s="290"/>
      <c r="H12" s="289"/>
      <c r="I12" s="290"/>
      <c r="J12" s="293"/>
      <c r="K12" s="294"/>
      <c r="L12" s="289"/>
      <c r="M12" s="290"/>
      <c r="N12" s="245"/>
      <c r="O12" s="246"/>
      <c r="P12" s="409"/>
      <c r="Q12" s="410"/>
      <c r="R12" s="293"/>
      <c r="S12" s="460"/>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8"/>
        <v>0.93</v>
      </c>
      <c r="AN12" s="2" t="str">
        <f t="shared" si="9"/>
        <v>0.51</v>
      </c>
      <c r="AP12" s="2" t="e">
        <f t="shared" si="5"/>
        <v>#DIV/0!</v>
      </c>
      <c r="AQ12" s="2" t="e">
        <f t="shared" si="6"/>
        <v>#DIV/0!</v>
      </c>
      <c r="AS12" s="2">
        <f t="shared" si="10"/>
        <v>0</v>
      </c>
      <c r="AT12" s="11" t="str">
        <f t="shared" si="7"/>
        <v>FALSE</v>
      </c>
    </row>
    <row r="13" spans="2:46" s="2" customFormat="1" ht="21.95" customHeight="1" x14ac:dyDescent="0.15">
      <c r="B13" s="295"/>
      <c r="C13" s="296"/>
      <c r="D13" s="289"/>
      <c r="E13" s="299"/>
      <c r="F13" s="291"/>
      <c r="G13" s="290"/>
      <c r="H13" s="289"/>
      <c r="I13" s="290"/>
      <c r="J13" s="293"/>
      <c r="K13" s="294"/>
      <c r="L13" s="289"/>
      <c r="M13" s="290"/>
      <c r="N13" s="245"/>
      <c r="O13" s="246"/>
      <c r="P13" s="409"/>
      <c r="Q13" s="410"/>
      <c r="R13" s="293"/>
      <c r="S13" s="460"/>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8"/>
        <v>0.93</v>
      </c>
      <c r="AN13" s="2" t="str">
        <f t="shared" si="9"/>
        <v>0.51</v>
      </c>
      <c r="AP13" s="2" t="e">
        <f t="shared" si="5"/>
        <v>#DIV/0!</v>
      </c>
      <c r="AQ13" s="2" t="e">
        <f t="shared" si="6"/>
        <v>#DIV/0!</v>
      </c>
      <c r="AS13" s="2">
        <f t="shared" si="10"/>
        <v>0</v>
      </c>
      <c r="AT13" s="11" t="str">
        <f t="shared" si="7"/>
        <v>FALSE</v>
      </c>
    </row>
    <row r="14" spans="2:46" s="2" customFormat="1" ht="21.95" customHeight="1" thickBot="1" x14ac:dyDescent="0.2">
      <c r="B14" s="304"/>
      <c r="C14" s="305"/>
      <c r="D14" s="306"/>
      <c r="E14" s="384"/>
      <c r="F14" s="385"/>
      <c r="G14" s="307"/>
      <c r="H14" s="306"/>
      <c r="I14" s="307"/>
      <c r="J14" s="455"/>
      <c r="K14" s="456"/>
      <c r="L14" s="457"/>
      <c r="M14" s="458"/>
      <c r="N14" s="391"/>
      <c r="O14" s="392"/>
      <c r="P14" s="401"/>
      <c r="Q14" s="402"/>
      <c r="R14" s="455"/>
      <c r="S14" s="459"/>
      <c r="T14" s="394"/>
      <c r="U14" s="395"/>
      <c r="V14" s="394"/>
      <c r="W14" s="396"/>
      <c r="X14" s="397"/>
      <c r="Y14" s="398"/>
      <c r="Z14" s="399" t="str">
        <f t="shared" si="0"/>
        <v/>
      </c>
      <c r="AA14" s="400"/>
      <c r="AB14" s="389" t="str">
        <f t="shared" si="1"/>
        <v/>
      </c>
      <c r="AC14" s="389"/>
      <c r="AD14" s="389" t="str">
        <f t="shared" si="2"/>
        <v/>
      </c>
      <c r="AE14" s="390"/>
      <c r="AH14" s="12" t="b">
        <v>1</v>
      </c>
      <c r="AI14" s="2">
        <f t="shared" si="3"/>
        <v>0</v>
      </c>
      <c r="AJ14" s="2">
        <f t="shared" si="4"/>
        <v>0</v>
      </c>
      <c r="AL14" s="12" t="b">
        <v>1</v>
      </c>
      <c r="AM14" s="2" t="str">
        <f t="shared" si="8"/>
        <v>0.93</v>
      </c>
      <c r="AN14" s="2" t="str">
        <f t="shared" si="9"/>
        <v>0.51</v>
      </c>
      <c r="AP14" s="2" t="e">
        <f t="shared" si="5"/>
        <v>#DIV/0!</v>
      </c>
      <c r="AQ14" s="2" t="e">
        <f t="shared" si="6"/>
        <v>#DIV/0!</v>
      </c>
      <c r="AS14" s="2">
        <f t="shared" si="10"/>
        <v>0</v>
      </c>
      <c r="AT14" s="11" t="str">
        <f t="shared" si="7"/>
        <v>FALSE</v>
      </c>
    </row>
    <row r="15" spans="2:46" s="2" customFormat="1" ht="21.95" customHeight="1" thickBot="1" x14ac:dyDescent="0.2">
      <c r="B15" s="386" t="s">
        <v>151</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SUM(AD8:AE14)</f>
        <v>0</v>
      </c>
      <c r="AE15" s="329"/>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152</v>
      </c>
      <c r="M23" s="248"/>
      <c r="N23" s="248"/>
      <c r="O23" s="248"/>
      <c r="P23" s="248"/>
      <c r="Q23" s="248"/>
      <c r="R23" s="248"/>
      <c r="S23" s="248"/>
      <c r="T23" s="248"/>
      <c r="U23" s="248"/>
      <c r="V23" s="248"/>
      <c r="W23" s="248"/>
      <c r="X23" s="248"/>
      <c r="Y23" s="249"/>
      <c r="Z23" s="327">
        <f>SUM(Z21:AA22)</f>
        <v>0</v>
      </c>
      <c r="AA23" s="330"/>
      <c r="AB23" s="327">
        <f>SUM(AB21:AC22)</f>
        <v>0</v>
      </c>
      <c r="AC23" s="330"/>
      <c r="AD23" s="327">
        <f>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453" t="str">
        <f>IF(N29="","",N29-P29)</f>
        <v/>
      </c>
      <c r="S29" s="454"/>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335" t="str">
        <f>IF(N30="","",N30-P30)</f>
        <v/>
      </c>
      <c r="S30" s="336"/>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335" t="str">
        <f>IF(N31="","",N31-P31)</f>
        <v/>
      </c>
      <c r="S31" s="336"/>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335" t="str">
        <f>IF(N32="","",N32-P32)</f>
        <v/>
      </c>
      <c r="S32" s="336"/>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333" t="str">
        <f>IF(N33="","",N33-P33)</f>
        <v/>
      </c>
      <c r="S33" s="334"/>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153</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SUM(AD29:AE33)</f>
        <v>0</v>
      </c>
      <c r="AE34" s="332"/>
      <c r="AH34" s="12"/>
      <c r="AO34" s="12"/>
      <c r="AP34" s="12"/>
    </row>
    <row r="35" spans="2:42" s="2" customFormat="1" ht="21.95" customHeight="1" x14ac:dyDescent="0.15">
      <c r="L35" s="101" t="s">
        <v>395</v>
      </c>
      <c r="M35" s="20"/>
      <c r="N35" s="20"/>
      <c r="O35" s="20"/>
      <c r="P35" s="20"/>
      <c r="Q35" s="20"/>
      <c r="R35" s="20"/>
      <c r="S35" s="20"/>
      <c r="T35" s="20"/>
      <c r="U35" s="20"/>
      <c r="V35" s="20"/>
      <c r="W35" s="20"/>
      <c r="X35" s="20"/>
      <c r="Y35" s="20"/>
      <c r="Z35" s="21"/>
      <c r="AA35" s="21"/>
      <c r="AB35" s="21"/>
      <c r="AC35" s="21"/>
      <c r="AD35" s="21"/>
      <c r="AE35" s="21"/>
      <c r="AL35" s="12"/>
      <c r="AM35" s="12"/>
      <c r="AN35" s="12"/>
      <c r="AO35" s="12"/>
      <c r="AP35" s="12"/>
    </row>
    <row r="36" spans="2:42" s="2" customFormat="1" ht="21.95" customHeight="1" thickBot="1" x14ac:dyDescent="0.2">
      <c r="L36" s="4" t="s">
        <v>233</v>
      </c>
      <c r="U36" s="4"/>
      <c r="V36" s="4"/>
      <c r="X36" s="4"/>
      <c r="AL36" s="12"/>
      <c r="AM36" s="12"/>
      <c r="AN36" s="12"/>
      <c r="AO36" s="12"/>
      <c r="AP36" s="12"/>
    </row>
    <row r="37" spans="2:42" s="2" customFormat="1" ht="21.9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c r="AL37" s="12"/>
      <c r="AM37" s="12"/>
      <c r="AN37" s="12"/>
      <c r="AO37" s="12"/>
      <c r="AP37" s="12"/>
    </row>
    <row r="38" spans="2:42" s="2" customFormat="1" ht="21.95" customHeight="1" x14ac:dyDescent="0.15">
      <c r="L38" s="322"/>
      <c r="M38" s="211"/>
      <c r="N38" s="212"/>
      <c r="O38" s="212"/>
      <c r="P38" s="212"/>
      <c r="Q38" s="212"/>
      <c r="R38" s="212"/>
      <c r="S38" s="212"/>
      <c r="T38" s="311"/>
      <c r="U38" s="259"/>
      <c r="V38" s="259"/>
      <c r="W38" s="352"/>
      <c r="X38" s="279"/>
      <c r="Y38" s="350"/>
      <c r="Z38" s="350"/>
      <c r="AA38" s="280"/>
      <c r="AB38" s="311"/>
      <c r="AC38" s="259"/>
      <c r="AD38" s="259"/>
      <c r="AE38" s="312"/>
      <c r="AL38" s="12"/>
      <c r="AM38" s="12"/>
      <c r="AN38" s="12"/>
      <c r="AO38" s="12"/>
      <c r="AP38" s="12"/>
    </row>
    <row r="39" spans="2:42" s="2" customFormat="1" ht="21.9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c r="AL39" s="12"/>
      <c r="AM39" s="12"/>
      <c r="AN39" s="12"/>
      <c r="AO39" s="12"/>
      <c r="AP39" s="12"/>
    </row>
    <row r="40" spans="2:42" s="2" customFormat="1" ht="21.9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c r="AL40" s="12"/>
      <c r="AM40" s="12"/>
      <c r="AN40" s="12"/>
      <c r="AO40" s="12"/>
      <c r="AP40" s="12"/>
    </row>
    <row r="41" spans="2:42" s="2" customFormat="1" ht="21.9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c r="AL41" s="12"/>
      <c r="AM41" s="12"/>
      <c r="AN41" s="12"/>
      <c r="AO41" s="12"/>
      <c r="AP41" s="12"/>
    </row>
    <row r="42" spans="2:42" s="2" customFormat="1" ht="21.95" customHeight="1" thickBot="1" x14ac:dyDescent="0.2">
      <c r="L42" s="247" t="s">
        <v>253</v>
      </c>
      <c r="M42" s="248"/>
      <c r="N42" s="248"/>
      <c r="O42" s="248"/>
      <c r="P42" s="248"/>
      <c r="Q42" s="248"/>
      <c r="R42" s="248"/>
      <c r="S42" s="248"/>
      <c r="T42" s="248"/>
      <c r="U42" s="248"/>
      <c r="V42" s="248"/>
      <c r="W42" s="248"/>
      <c r="X42" s="248"/>
      <c r="Y42" s="248"/>
      <c r="Z42" s="248"/>
      <c r="AA42" s="249"/>
      <c r="AB42" s="327">
        <f>SUM(AB40:AB41)</f>
        <v>0</v>
      </c>
      <c r="AC42" s="328"/>
      <c r="AD42" s="328"/>
      <c r="AE42" s="329"/>
      <c r="AL42" s="12"/>
      <c r="AM42" s="12"/>
      <c r="AN42" s="12"/>
      <c r="AO42" s="12"/>
      <c r="AP42" s="12"/>
    </row>
    <row r="43" spans="2:42" s="2" customFormat="1" ht="21.95" customHeight="1" x14ac:dyDescent="0.15">
      <c r="L43" s="20"/>
      <c r="M43" s="20"/>
      <c r="N43" s="20"/>
      <c r="O43" s="20"/>
      <c r="P43" s="20"/>
      <c r="Q43" s="20"/>
      <c r="R43" s="20"/>
      <c r="S43" s="20"/>
      <c r="T43" s="20"/>
      <c r="U43" s="20"/>
      <c r="V43" s="20"/>
      <c r="W43" s="20"/>
      <c r="X43" s="20"/>
      <c r="Y43" s="20"/>
      <c r="Z43" s="21"/>
      <c r="AA43" s="21"/>
      <c r="AB43" s="21"/>
      <c r="AC43" s="21"/>
      <c r="AD43" s="21"/>
      <c r="AE43" s="21"/>
      <c r="AL43" s="12"/>
      <c r="AM43" s="12"/>
      <c r="AN43" s="12"/>
      <c r="AO43" s="12"/>
      <c r="AP43" s="12"/>
    </row>
    <row r="44" spans="2:42" s="2" customFormat="1" ht="21.95" customHeight="1" thickBot="1" x14ac:dyDescent="0.2">
      <c r="B44" s="4" t="s">
        <v>245</v>
      </c>
      <c r="F44" s="4"/>
    </row>
    <row r="45" spans="2:42" s="2" customFormat="1" ht="21.95" customHeight="1" x14ac:dyDescent="0.15">
      <c r="B45" s="339" t="s">
        <v>154</v>
      </c>
      <c r="C45" s="340"/>
      <c r="D45" s="36" t="s">
        <v>31</v>
      </c>
      <c r="E45" s="37"/>
      <c r="F45" s="37"/>
      <c r="G45" s="37"/>
      <c r="H45" s="37"/>
      <c r="I45" s="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342"/>
      <c r="D46" s="38" t="s">
        <v>42</v>
      </c>
      <c r="E46" s="93"/>
      <c r="F46" s="93"/>
      <c r="G46" s="93"/>
      <c r="H46" s="93"/>
      <c r="I46" s="93"/>
      <c r="J46" s="94"/>
      <c r="K46" s="95"/>
      <c r="L46" s="95"/>
      <c r="M46" s="93"/>
      <c r="N46" s="99"/>
      <c r="O46" s="97"/>
      <c r="P46" s="97"/>
      <c r="Q46" s="10"/>
      <c r="R46" s="10"/>
      <c r="S46" s="93"/>
      <c r="T46" s="93"/>
      <c r="U46" s="10"/>
      <c r="V46" s="10"/>
      <c r="W46" s="98"/>
      <c r="X46" s="98"/>
      <c r="Y46" s="10"/>
      <c r="Z46" s="93"/>
      <c r="AA46" s="347">
        <f>$Z$15+$Z$23+$Z$34</f>
        <v>0</v>
      </c>
      <c r="AB46" s="347"/>
      <c r="AC46" s="347"/>
      <c r="AD46" s="302" t="s">
        <v>261</v>
      </c>
      <c r="AE46" s="303"/>
    </row>
    <row r="47" spans="2:42" s="2" customFormat="1" ht="21.95" customHeight="1" x14ac:dyDescent="0.15">
      <c r="B47" s="341"/>
      <c r="C47" s="342"/>
      <c r="D47" s="38" t="s">
        <v>43</v>
      </c>
      <c r="E47" s="93"/>
      <c r="F47" s="93"/>
      <c r="G47" s="93"/>
      <c r="H47" s="93"/>
      <c r="I47" s="93"/>
      <c r="J47" s="94"/>
      <c r="K47" s="95"/>
      <c r="L47" s="95"/>
      <c r="M47" s="93"/>
      <c r="N47" s="96"/>
      <c r="O47" s="97"/>
      <c r="P47" s="97"/>
      <c r="Q47" s="10"/>
      <c r="R47" s="10"/>
      <c r="S47" s="93"/>
      <c r="T47" s="93"/>
      <c r="U47" s="10"/>
      <c r="V47" s="10"/>
      <c r="W47" s="98"/>
      <c r="X47" s="98"/>
      <c r="Y47" s="10"/>
      <c r="Z47" s="93"/>
      <c r="AA47" s="348">
        <f>IF(共通条件・結果!AA7="８地域","-",$AB$15+$AB$23+$AB$34)</f>
        <v>0</v>
      </c>
      <c r="AB47" s="348"/>
      <c r="AC47" s="348"/>
      <c r="AD47" s="302" t="s">
        <v>261</v>
      </c>
      <c r="AE47" s="303"/>
    </row>
    <row r="48" spans="2:42" s="2" customFormat="1" ht="21.95" customHeight="1" thickBot="1" x14ac:dyDescent="0.2">
      <c r="B48" s="343"/>
      <c r="C48" s="344"/>
      <c r="D48" s="35" t="s">
        <v>12</v>
      </c>
      <c r="E48" s="15"/>
      <c r="F48" s="15"/>
      <c r="G48" s="15"/>
      <c r="H48" s="15"/>
      <c r="I48" s="15"/>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JucweutQ/syxd1Y+qjW8NGkSoSmM/XwtnlXnsg6rOlGDlLglCgQDZKG68NWMeO7eA8Z/W/oPKu9cfIzA8I9pDw==" saltValue="oMmQrfmydVvuRvjYt2E+tw==" spinCount="100000" sheet="1" selectLockedCells="1"/>
  <mergeCells count="273">
    <mergeCell ref="AD46:AE46"/>
    <mergeCell ref="AD47:AE47"/>
    <mergeCell ref="L8:M8"/>
    <mergeCell ref="AB9:AC9"/>
    <mergeCell ref="AB42:AE42"/>
    <mergeCell ref="L42:AA42"/>
    <mergeCell ref="B15:Y15"/>
    <mergeCell ref="Z15:AA15"/>
    <mergeCell ref="AB15:AC15"/>
    <mergeCell ref="AD15:AE15"/>
    <mergeCell ref="Z23:AA23"/>
    <mergeCell ref="AB23:AC23"/>
    <mergeCell ref="AD23:AE23"/>
    <mergeCell ref="Z34:AA34"/>
    <mergeCell ref="AB34:AC34"/>
    <mergeCell ref="AD34:AE34"/>
    <mergeCell ref="L34:Y34"/>
    <mergeCell ref="X22:Y22"/>
    <mergeCell ref="Z22:AA22"/>
    <mergeCell ref="AB22:AC22"/>
    <mergeCell ref="AD22:AE22"/>
    <mergeCell ref="X21:Y21"/>
    <mergeCell ref="Z21:AA21"/>
    <mergeCell ref="AB21:AC21"/>
    <mergeCell ref="AD21:AE21"/>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AD9:AE9"/>
    <mergeCell ref="N10:O10"/>
    <mergeCell ref="P10:Q10"/>
    <mergeCell ref="AI6:AJ6"/>
    <mergeCell ref="AM6:AN6"/>
    <mergeCell ref="AP6:AQ6"/>
    <mergeCell ref="AS6:AT6"/>
    <mergeCell ref="T7:U7"/>
    <mergeCell ref="V7:W7"/>
    <mergeCell ref="X7:Y7"/>
    <mergeCell ref="R9:S9"/>
    <mergeCell ref="T9:U9"/>
    <mergeCell ref="V9:W9"/>
    <mergeCell ref="X9:Y9"/>
    <mergeCell ref="Z9:AA9"/>
    <mergeCell ref="P9:Q9"/>
    <mergeCell ref="Z8:AA8"/>
    <mergeCell ref="AB8:AC8"/>
    <mergeCell ref="AD8:AE8"/>
    <mergeCell ref="R8:S8"/>
    <mergeCell ref="T8:U8"/>
    <mergeCell ref="V8:W8"/>
    <mergeCell ref="X8:Y8"/>
    <mergeCell ref="B9:C9"/>
    <mergeCell ref="D9:E9"/>
    <mergeCell ref="F9:G9"/>
    <mergeCell ref="H9:I9"/>
    <mergeCell ref="J9:K9"/>
    <mergeCell ref="L9:M9"/>
    <mergeCell ref="N9:O9"/>
    <mergeCell ref="N8:O8"/>
    <mergeCell ref="P8:Q8"/>
    <mergeCell ref="B8:C8"/>
    <mergeCell ref="D8:E8"/>
    <mergeCell ref="F8:G8"/>
    <mergeCell ref="H8:I8"/>
    <mergeCell ref="J8:K8"/>
    <mergeCell ref="F10:G10"/>
    <mergeCell ref="T11:U11"/>
    <mergeCell ref="V11:W11"/>
    <mergeCell ref="X11:Y11"/>
    <mergeCell ref="Z11:AA11"/>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H10:I10"/>
    <mergeCell ref="J10:K10"/>
    <mergeCell ref="L10:M10"/>
    <mergeCell ref="Z12:AA12"/>
    <mergeCell ref="AB12:AC12"/>
    <mergeCell ref="AD12:AE12"/>
    <mergeCell ref="B13:C13"/>
    <mergeCell ref="D13:E13"/>
    <mergeCell ref="F13:G13"/>
    <mergeCell ref="H13:I13"/>
    <mergeCell ref="J13:K13"/>
    <mergeCell ref="L13:M13"/>
    <mergeCell ref="N13:O13"/>
    <mergeCell ref="N12:O12"/>
    <mergeCell ref="P12:Q12"/>
    <mergeCell ref="R12:S12"/>
    <mergeCell ref="T12:U12"/>
    <mergeCell ref="V12:W12"/>
    <mergeCell ref="X12:Y12"/>
    <mergeCell ref="B12:C12"/>
    <mergeCell ref="D12:E12"/>
    <mergeCell ref="F12:G12"/>
    <mergeCell ref="H12:I12"/>
    <mergeCell ref="AD18:AE20"/>
    <mergeCell ref="X19:Y20"/>
    <mergeCell ref="Z19:AA20"/>
    <mergeCell ref="AB19:AC20"/>
    <mergeCell ref="AI19:AJ19"/>
    <mergeCell ref="AS19:AT19"/>
    <mergeCell ref="AD14:AE14"/>
    <mergeCell ref="X18:AC18"/>
    <mergeCell ref="J12:K12"/>
    <mergeCell ref="L12:M12"/>
    <mergeCell ref="AB13:AC13"/>
    <mergeCell ref="AD13:AE13"/>
    <mergeCell ref="R13:S13"/>
    <mergeCell ref="T13:U13"/>
    <mergeCell ref="V13:W13"/>
    <mergeCell ref="X13:Y13"/>
    <mergeCell ref="Z13:AA13"/>
    <mergeCell ref="P13:Q13"/>
    <mergeCell ref="B14:C14"/>
    <mergeCell ref="D14:E14"/>
    <mergeCell ref="F14:G14"/>
    <mergeCell ref="H14:I14"/>
    <mergeCell ref="J14:K14"/>
    <mergeCell ref="L14:M14"/>
    <mergeCell ref="N14:O14"/>
    <mergeCell ref="P14:Q14"/>
    <mergeCell ref="AS16:AT16"/>
    <mergeCell ref="R14:S14"/>
    <mergeCell ref="T14:U14"/>
    <mergeCell ref="V14:W14"/>
    <mergeCell ref="X14:Y14"/>
    <mergeCell ref="Z14:AA14"/>
    <mergeCell ref="AB14:AC14"/>
    <mergeCell ref="X26:AC26"/>
    <mergeCell ref="AD26:AE28"/>
    <mergeCell ref="X27:Y28"/>
    <mergeCell ref="Z27:AA28"/>
    <mergeCell ref="AB27:AC28"/>
    <mergeCell ref="AI27:AJ27"/>
    <mergeCell ref="L26:M28"/>
    <mergeCell ref="N26:O28"/>
    <mergeCell ref="P26:Q28"/>
    <mergeCell ref="R26:S28"/>
    <mergeCell ref="T26:U28"/>
    <mergeCell ref="V26:W28"/>
    <mergeCell ref="X29:Y29"/>
    <mergeCell ref="Z29:AA29"/>
    <mergeCell ref="AB29:AC29"/>
    <mergeCell ref="AD29:AE29"/>
    <mergeCell ref="L30:M30"/>
    <mergeCell ref="N30:O30"/>
    <mergeCell ref="P30:Q30"/>
    <mergeCell ref="R30:S30"/>
    <mergeCell ref="T30:U30"/>
    <mergeCell ref="V30:W30"/>
    <mergeCell ref="L29:M29"/>
    <mergeCell ref="N29:O29"/>
    <mergeCell ref="P29:Q29"/>
    <mergeCell ref="R29:S29"/>
    <mergeCell ref="T29:U29"/>
    <mergeCell ref="V29:W29"/>
    <mergeCell ref="X30:Y30"/>
    <mergeCell ref="Z30:AA30"/>
    <mergeCell ref="AB30:AC30"/>
    <mergeCell ref="AD30:AE30"/>
    <mergeCell ref="AD31:AE31"/>
    <mergeCell ref="L32:M32"/>
    <mergeCell ref="N32:O32"/>
    <mergeCell ref="P32:Q32"/>
    <mergeCell ref="R32:S32"/>
    <mergeCell ref="T32:U32"/>
    <mergeCell ref="V32:W32"/>
    <mergeCell ref="X33:Y33"/>
    <mergeCell ref="Z33:AA33"/>
    <mergeCell ref="AB33:AC33"/>
    <mergeCell ref="AD33:AE33"/>
    <mergeCell ref="L31:M31"/>
    <mergeCell ref="N31:O31"/>
    <mergeCell ref="P31:Q31"/>
    <mergeCell ref="R31:S31"/>
    <mergeCell ref="T31:U31"/>
    <mergeCell ref="V31:W31"/>
    <mergeCell ref="X31:Y31"/>
    <mergeCell ref="Z31:AA31"/>
    <mergeCell ref="AB31:AC31"/>
    <mergeCell ref="X32:Y32"/>
    <mergeCell ref="Z32:AA32"/>
    <mergeCell ref="AB32:AC32"/>
    <mergeCell ref="AD32:AE32"/>
    <mergeCell ref="B45:C48"/>
    <mergeCell ref="AC45:AD45"/>
    <mergeCell ref="AA47:AC47"/>
    <mergeCell ref="AA48:AC48"/>
    <mergeCell ref="L37:M39"/>
    <mergeCell ref="N37:S38"/>
    <mergeCell ref="T37:W39"/>
    <mergeCell ref="X37:AA39"/>
    <mergeCell ref="AB37:AE39"/>
    <mergeCell ref="N39:P39"/>
    <mergeCell ref="Q39:S39"/>
    <mergeCell ref="N40:P40"/>
    <mergeCell ref="Q40:S40"/>
    <mergeCell ref="X41:AA41"/>
    <mergeCell ref="AB41:AE41"/>
    <mergeCell ref="J45:L45"/>
    <mergeCell ref="O45:P45"/>
    <mergeCell ref="T40:W40"/>
    <mergeCell ref="X40:AA40"/>
    <mergeCell ref="AB40:AE40"/>
    <mergeCell ref="N41:P41"/>
    <mergeCell ref="Q41:S41"/>
    <mergeCell ref="T41:W41"/>
    <mergeCell ref="S45:T45"/>
    <mergeCell ref="AA46:AC46"/>
    <mergeCell ref="L40:M40"/>
    <mergeCell ref="L41:M41"/>
    <mergeCell ref="L33:M33"/>
    <mergeCell ref="N33:O33"/>
    <mergeCell ref="P33:Q33"/>
    <mergeCell ref="R33:S33"/>
    <mergeCell ref="T33:U33"/>
    <mergeCell ref="V33:W33"/>
    <mergeCell ref="W45:X45"/>
    <mergeCell ref="L22:M22"/>
    <mergeCell ref="N22:O22"/>
    <mergeCell ref="P22:Q22"/>
    <mergeCell ref="R22:S22"/>
    <mergeCell ref="T22:U22"/>
    <mergeCell ref="V22:W22"/>
    <mergeCell ref="L23:Y23"/>
    <mergeCell ref="L18:M20"/>
    <mergeCell ref="N18:Q19"/>
    <mergeCell ref="R18:S20"/>
    <mergeCell ref="T18:U20"/>
    <mergeCell ref="V18:W20"/>
    <mergeCell ref="N20:O20"/>
    <mergeCell ref="P20:Q20"/>
    <mergeCell ref="L21:M21"/>
    <mergeCell ref="N21:O21"/>
    <mergeCell ref="P21:Q21"/>
    <mergeCell ref="R21:S21"/>
    <mergeCell ref="T21:U21"/>
    <mergeCell ref="V21:W21"/>
  </mergeCells>
  <phoneticPr fontId="4"/>
  <conditionalFormatting sqref="B8:Y14">
    <cfRule type="expression" dxfId="188" priority="183" stopIfTrue="1">
      <formula>$AH$3&lt;&gt;2</formula>
    </cfRule>
  </conditionalFormatting>
  <conditionalFormatting sqref="J45:J47">
    <cfRule type="expression" dxfId="187" priority="1288" stopIfTrue="1">
      <formula>$J$45=0</formula>
    </cfRule>
  </conditionalFormatting>
  <conditionalFormatting sqref="J45:L45">
    <cfRule type="expression" dxfId="186" priority="359">
      <formula>$AH$3&lt;&gt;2</formula>
    </cfRule>
  </conditionalFormatting>
  <conditionalFormatting sqref="L29:Q33">
    <cfRule type="expression" dxfId="185" priority="101" stopIfTrue="1">
      <formula>$AH$3&lt;&gt;2</formula>
    </cfRule>
  </conditionalFormatting>
  <conditionalFormatting sqref="L21:Y22">
    <cfRule type="expression" dxfId="184" priority="155" stopIfTrue="1">
      <formula>$AH$3&lt;&gt;2</formula>
    </cfRule>
  </conditionalFormatting>
  <conditionalFormatting sqref="L40:AA41">
    <cfRule type="expression" dxfId="183" priority="63" stopIfTrue="1">
      <formula>$AH$3&lt;&gt;2</formula>
    </cfRule>
  </conditionalFormatting>
  <conditionalFormatting sqref="O45:P45">
    <cfRule type="expression" dxfId="182" priority="358">
      <formula>$AH$3&lt;&gt;2</formula>
    </cfRule>
  </conditionalFormatting>
  <conditionalFormatting sqref="O45:P47">
    <cfRule type="expression" dxfId="181" priority="1289" stopIfTrue="1">
      <formula>$O$45=0</formula>
    </cfRule>
  </conditionalFormatting>
  <conditionalFormatting sqref="R29:S33">
    <cfRule type="expression" dxfId="180" priority="11">
      <formula>$AH$3&lt;&gt;2</formula>
    </cfRule>
  </conditionalFormatting>
  <conditionalFormatting sqref="S45:T45">
    <cfRule type="expression" dxfId="179" priority="357">
      <formula>$AH$3&lt;&gt;2</formula>
    </cfRule>
  </conditionalFormatting>
  <conditionalFormatting sqref="S45:T47">
    <cfRule type="expression" dxfId="178" priority="1287" stopIfTrue="1">
      <formula>$S$45=0</formula>
    </cfRule>
  </conditionalFormatting>
  <conditionalFormatting sqref="T8:Y14">
    <cfRule type="expression" dxfId="177" priority="351">
      <formula>$AL8=TRUE</formula>
    </cfRule>
  </conditionalFormatting>
  <conditionalFormatting sqref="T29:Y33">
    <cfRule type="expression" dxfId="176" priority="95" stopIfTrue="1">
      <formula>$AH$3&lt;&gt;2</formula>
    </cfRule>
  </conditionalFormatting>
  <conditionalFormatting sqref="W45:X45">
    <cfRule type="expression" dxfId="175" priority="356">
      <formula>$AH$3&lt;&gt;2</formula>
    </cfRule>
  </conditionalFormatting>
  <conditionalFormatting sqref="W46:X47">
    <cfRule type="expression" dxfId="174" priority="1298" stopIfTrue="1">
      <formula>$W$45=0</formula>
    </cfRule>
  </conditionalFormatting>
  <conditionalFormatting sqref="Z4:AC4">
    <cfRule type="expression" dxfId="173" priority="61">
      <formula>$AH$3&lt;&gt;2</formula>
    </cfRule>
  </conditionalFormatting>
  <conditionalFormatting sqref="Z8:AE15">
    <cfRule type="expression" dxfId="172" priority="37">
      <formula>$AH$3&lt;&gt;2</formula>
    </cfRule>
  </conditionalFormatting>
  <conditionalFormatting sqref="Z21:AE23">
    <cfRule type="expression" dxfId="171" priority="28">
      <formula>$AH$3&lt;&gt;2</formula>
    </cfRule>
  </conditionalFormatting>
  <conditionalFormatting sqref="Z29:AE34">
    <cfRule type="expression" dxfId="170" priority="5">
      <formula>$AH$3&lt;&gt;2</formula>
    </cfRule>
  </conditionalFormatting>
  <conditionalFormatting sqref="AA46:AC48">
    <cfRule type="expression" dxfId="169" priority="1">
      <formula>$AH$3&lt;&gt;2</formula>
    </cfRule>
  </conditionalFormatting>
  <conditionalFormatting sqref="AB40:AE41">
    <cfRule type="expression" dxfId="168" priority="3">
      <formula>$AH$3&lt;&gt;2</formula>
    </cfRule>
  </conditionalFormatting>
  <conditionalFormatting sqref="AC45:AD45">
    <cfRule type="expression" dxfId="167" priority="355">
      <formula>$AH$3&lt;&gt;2</formula>
    </cfRule>
  </conditionalFormatting>
  <conditionalFormatting sqref="AE8:AE14">
    <cfRule type="expression" dxfId="166" priority="395">
      <formula>$AH$3&lt;&gt;2</formula>
    </cfRule>
  </conditionalFormatting>
  <conditionalFormatting sqref="AE35 AE43">
    <cfRule type="expression" dxfId="165" priority="1312" stopIfTrue="1">
      <formula>#REF!=0</formula>
    </cfRule>
  </conditionalFormatting>
  <conditionalFormatting sqref="AE40:AE42">
    <cfRule type="expression" dxfId="164" priority="360">
      <formula>$AH$3&lt;&gt;2</formula>
    </cfRule>
  </conditionalFormatting>
  <dataValidations count="3">
    <dataValidation type="list" showInputMessage="1" showErrorMessage="1" sqref="V29:W33 X40:X41 P8:Q14 V21:W22" xr:uid="{00000000-0002-0000-0200-000000000000}">
      <formula1>"1.0,0.7,0.05,0.15,0"</formula1>
    </dataValidation>
    <dataValidation type="list" allowBlank="1" showInputMessage="1" showErrorMessage="1" sqref="N8:N14 T21:T22" xr:uid="{00000000-0002-0000-0200-000001000000}">
      <formula1>"　,雨戸,ｼｬｯﾀｰ,障子,風除室"</formula1>
    </dataValidation>
    <dataValidation type="list" allowBlank="1" showInputMessage="1" showErrorMessage="1" sqref="T40:T41" xr:uid="{00000000-0002-0000-02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7457"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47458"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47459"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47460"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47461"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47462"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47463"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47464"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47465"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47466"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47467"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47468"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47469"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47470"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47471"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47472"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47473"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47474"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47475"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47476"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47477"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47492" r:id="rId25" name="Check Box 36">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47493" r:id="rId26" name="Check Box 37">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47494" r:id="rId27" name="Check Box 38">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T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155</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0.515",IF(共通条件・結果!AA7="７地域",0.509,IF(共通条件・結果!AA7="６地域",0.512,IF(共通条件・結果!AA7="５地域",0.5,IF(共通条件・結果!AA7="４地域",0.518,IF(共通条件・結果!AA7="３地域",0.468,IF(共通条件・結果!AA7="２地域",0.503,IF(共通条件・結果!AA7="１地域",0.545))))))))</f>
        <v>0.46800000000000003</v>
      </c>
      <c r="AA4" s="429"/>
      <c r="AB4" s="430">
        <f>IF(共通条件・結果!AA7="８地域","-",IF(共通条件・結果!AA7="７地域",0.543,IF(共通条件・結果!AA7="６地域",0.579,IF(共通条件・結果!AA7="５地域",0.568,IF(共通条件・結果!AA7="４地域",0.531,IF(共通条件・結果!AA7="３地域",0.54,IF(共通条件・結果!AA7="２地域",0.554,IF(共通条件・結果!AA7="１地域",0.564))))))))</f>
        <v>0.54</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89"/>
      <c r="E8" s="299"/>
      <c r="F8" s="291"/>
      <c r="G8" s="290"/>
      <c r="H8" s="289"/>
      <c r="I8" s="290"/>
      <c r="J8" s="293"/>
      <c r="K8" s="294"/>
      <c r="L8" s="289"/>
      <c r="M8" s="290"/>
      <c r="N8" s="245"/>
      <c r="O8" s="246"/>
      <c r="P8" s="409"/>
      <c r="Q8" s="410"/>
      <c r="R8" s="461"/>
      <c r="S8" s="462"/>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 t="shared" ref="AP8:AP14" si="5">0.01*(16+24*(2*V8+X8)/T8)</f>
        <v>#DIV/0!</v>
      </c>
      <c r="AQ8" s="2" t="e">
        <f t="shared" ref="AQ8:AQ14" si="6">0.01*(10+15*(2*V8+X8)/T8)</f>
        <v>#DIV/0!</v>
      </c>
      <c r="AS8" s="2">
        <f>IF(AT8="FALSE",H8,IF(N8="風除室",1/((1/H8)+0.1),0.5*H8+0.5*(1/((1/H8)+AT8))))</f>
        <v>0</v>
      </c>
      <c r="AT8" s="11" t="str">
        <f t="shared" ref="AT8:AT14" si="7">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409"/>
      <c r="Q9" s="410"/>
      <c r="R9" s="293"/>
      <c r="S9" s="460"/>
      <c r="T9" s="404"/>
      <c r="U9" s="405"/>
      <c r="V9" s="404"/>
      <c r="W9" s="406"/>
      <c r="X9" s="407"/>
      <c r="Y9" s="408"/>
      <c r="Z9" s="365" t="str">
        <f t="shared" si="0"/>
        <v/>
      </c>
      <c r="AA9" s="365"/>
      <c r="AB9" s="365" t="str">
        <f t="shared" si="1"/>
        <v/>
      </c>
      <c r="AC9" s="365"/>
      <c r="AD9" s="365" t="str">
        <f t="shared" si="2"/>
        <v/>
      </c>
      <c r="AE9" s="403"/>
      <c r="AH9" s="12" t="b">
        <v>1</v>
      </c>
      <c r="AI9" s="2">
        <f t="shared" si="3"/>
        <v>0</v>
      </c>
      <c r="AJ9" s="2">
        <f t="shared" si="4"/>
        <v>0</v>
      </c>
      <c r="AL9" s="12" t="b">
        <v>1</v>
      </c>
      <c r="AM9" s="2" t="str">
        <f t="shared" ref="AM9:AM14" si="8">IF(AL9=TRUE,"0.93",IF(ISERROR(AP9),"エラー",IF(AP9&gt;0.93,"0.93",AP9)))</f>
        <v>0.93</v>
      </c>
      <c r="AN9" s="2" t="str">
        <f t="shared" ref="AN9:AN14" si="9">IF(AL9=TRUE,"0.51",IF(ISERROR(AQ9),"エラー",IF(AQ9&gt;0.72,"0.72",AQ9)))</f>
        <v>0.51</v>
      </c>
      <c r="AP9" s="2" t="e">
        <f t="shared" si="5"/>
        <v>#DIV/0!</v>
      </c>
      <c r="AQ9" s="2" t="e">
        <f t="shared" si="6"/>
        <v>#DIV/0!</v>
      </c>
      <c r="AS9" s="2">
        <f t="shared" ref="AS9:AS14" si="10">IF(AT9="FALSE",H9,IF(N9="風除室",1/((1/H9)+0.1),0.5*H9+0.5*(1/((1/H9)+AT9))))</f>
        <v>0</v>
      </c>
      <c r="AT9" s="11" t="str">
        <f t="shared" si="7"/>
        <v>FALSE</v>
      </c>
    </row>
    <row r="10" spans="2:46" s="2" customFormat="1" ht="21.95" customHeight="1" x14ac:dyDescent="0.15">
      <c r="B10" s="295"/>
      <c r="C10" s="296"/>
      <c r="D10" s="289"/>
      <c r="E10" s="299"/>
      <c r="F10" s="291"/>
      <c r="G10" s="290"/>
      <c r="H10" s="289"/>
      <c r="I10" s="290"/>
      <c r="J10" s="293"/>
      <c r="K10" s="294"/>
      <c r="L10" s="289"/>
      <c r="M10" s="290"/>
      <c r="N10" s="245"/>
      <c r="O10" s="246"/>
      <c r="P10" s="409"/>
      <c r="Q10" s="410"/>
      <c r="R10" s="293"/>
      <c r="S10" s="460"/>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8"/>
        <v>0.93</v>
      </c>
      <c r="AN10" s="2" t="str">
        <f t="shared" si="9"/>
        <v>0.51</v>
      </c>
      <c r="AP10" s="2" t="e">
        <f t="shared" si="5"/>
        <v>#DIV/0!</v>
      </c>
      <c r="AQ10" s="2" t="e">
        <f t="shared" si="6"/>
        <v>#DIV/0!</v>
      </c>
      <c r="AS10" s="2">
        <f t="shared" si="10"/>
        <v>0</v>
      </c>
      <c r="AT10" s="11" t="str">
        <f t="shared" si="7"/>
        <v>FALSE</v>
      </c>
    </row>
    <row r="11" spans="2:46" s="2" customFormat="1" ht="21.95" customHeight="1" x14ac:dyDescent="0.15">
      <c r="B11" s="295"/>
      <c r="C11" s="296"/>
      <c r="D11" s="289"/>
      <c r="E11" s="299"/>
      <c r="F11" s="291"/>
      <c r="G11" s="290"/>
      <c r="H11" s="289"/>
      <c r="I11" s="290"/>
      <c r="J11" s="293"/>
      <c r="K11" s="294"/>
      <c r="L11" s="289"/>
      <c r="M11" s="290"/>
      <c r="N11" s="245"/>
      <c r="O11" s="246"/>
      <c r="P11" s="409"/>
      <c r="Q11" s="410"/>
      <c r="R11" s="293"/>
      <c r="S11" s="460"/>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8"/>
        <v>0.93</v>
      </c>
      <c r="AN11" s="2" t="str">
        <f t="shared" si="9"/>
        <v>0.51</v>
      </c>
      <c r="AP11" s="2" t="e">
        <f t="shared" si="5"/>
        <v>#DIV/0!</v>
      </c>
      <c r="AQ11" s="2" t="e">
        <f t="shared" si="6"/>
        <v>#DIV/0!</v>
      </c>
      <c r="AS11" s="2">
        <f t="shared" si="10"/>
        <v>0</v>
      </c>
      <c r="AT11" s="11" t="str">
        <f t="shared" si="7"/>
        <v>FALSE</v>
      </c>
    </row>
    <row r="12" spans="2:46" s="2" customFormat="1" ht="21.95" customHeight="1" x14ac:dyDescent="0.15">
      <c r="B12" s="295"/>
      <c r="C12" s="296"/>
      <c r="D12" s="289"/>
      <c r="E12" s="299"/>
      <c r="F12" s="291"/>
      <c r="G12" s="290"/>
      <c r="H12" s="289"/>
      <c r="I12" s="290"/>
      <c r="J12" s="293"/>
      <c r="K12" s="294"/>
      <c r="L12" s="289"/>
      <c r="M12" s="290"/>
      <c r="N12" s="245"/>
      <c r="O12" s="246"/>
      <c r="P12" s="409"/>
      <c r="Q12" s="410"/>
      <c r="R12" s="293"/>
      <c r="S12" s="460"/>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8"/>
        <v>0.93</v>
      </c>
      <c r="AN12" s="2" t="str">
        <f t="shared" si="9"/>
        <v>0.51</v>
      </c>
      <c r="AP12" s="2" t="e">
        <f t="shared" si="5"/>
        <v>#DIV/0!</v>
      </c>
      <c r="AQ12" s="2" t="e">
        <f t="shared" si="6"/>
        <v>#DIV/0!</v>
      </c>
      <c r="AS12" s="2">
        <f t="shared" si="10"/>
        <v>0</v>
      </c>
      <c r="AT12" s="11" t="str">
        <f t="shared" si="7"/>
        <v>FALSE</v>
      </c>
    </row>
    <row r="13" spans="2:46" s="2" customFormat="1" ht="21.95" customHeight="1" x14ac:dyDescent="0.15">
      <c r="B13" s="295"/>
      <c r="C13" s="296"/>
      <c r="D13" s="289"/>
      <c r="E13" s="299"/>
      <c r="F13" s="291"/>
      <c r="G13" s="290"/>
      <c r="H13" s="289"/>
      <c r="I13" s="290"/>
      <c r="J13" s="293"/>
      <c r="K13" s="294"/>
      <c r="L13" s="289"/>
      <c r="M13" s="290"/>
      <c r="N13" s="245"/>
      <c r="O13" s="246"/>
      <c r="P13" s="409"/>
      <c r="Q13" s="410"/>
      <c r="R13" s="293"/>
      <c r="S13" s="460"/>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8"/>
        <v>0.93</v>
      </c>
      <c r="AN13" s="2" t="str">
        <f t="shared" si="9"/>
        <v>0.51</v>
      </c>
      <c r="AP13" s="2" t="e">
        <f t="shared" si="5"/>
        <v>#DIV/0!</v>
      </c>
      <c r="AQ13" s="2" t="e">
        <f t="shared" si="6"/>
        <v>#DIV/0!</v>
      </c>
      <c r="AS13" s="2">
        <f t="shared" si="10"/>
        <v>0</v>
      </c>
      <c r="AT13" s="11" t="str">
        <f t="shared" si="7"/>
        <v>FALSE</v>
      </c>
    </row>
    <row r="14" spans="2:46" s="2" customFormat="1" ht="21.95" customHeight="1" thickBot="1" x14ac:dyDescent="0.2">
      <c r="B14" s="304"/>
      <c r="C14" s="305"/>
      <c r="D14" s="306"/>
      <c r="E14" s="384"/>
      <c r="F14" s="385"/>
      <c r="G14" s="307"/>
      <c r="H14" s="306"/>
      <c r="I14" s="307"/>
      <c r="J14" s="455"/>
      <c r="K14" s="456"/>
      <c r="L14" s="457"/>
      <c r="M14" s="458"/>
      <c r="N14" s="391"/>
      <c r="O14" s="392"/>
      <c r="P14" s="401"/>
      <c r="Q14" s="402"/>
      <c r="R14" s="455"/>
      <c r="S14" s="459"/>
      <c r="T14" s="394"/>
      <c r="U14" s="395"/>
      <c r="V14" s="394"/>
      <c r="W14" s="396"/>
      <c r="X14" s="397"/>
      <c r="Y14" s="398"/>
      <c r="Z14" s="399" t="str">
        <f t="shared" si="0"/>
        <v/>
      </c>
      <c r="AA14" s="400"/>
      <c r="AB14" s="389" t="str">
        <f t="shared" si="1"/>
        <v/>
      </c>
      <c r="AC14" s="389"/>
      <c r="AD14" s="389" t="str">
        <f t="shared" si="2"/>
        <v/>
      </c>
      <c r="AE14" s="390"/>
      <c r="AH14" s="12" t="b">
        <v>1</v>
      </c>
      <c r="AI14" s="2">
        <f t="shared" si="3"/>
        <v>0</v>
      </c>
      <c r="AJ14" s="2">
        <f t="shared" si="4"/>
        <v>0</v>
      </c>
      <c r="AL14" s="12" t="b">
        <v>1</v>
      </c>
      <c r="AM14" s="2" t="str">
        <f t="shared" si="8"/>
        <v>0.93</v>
      </c>
      <c r="AN14" s="2" t="str">
        <f t="shared" si="9"/>
        <v>0.51</v>
      </c>
      <c r="AP14" s="2" t="e">
        <f t="shared" si="5"/>
        <v>#DIV/0!</v>
      </c>
      <c r="AQ14" s="2" t="e">
        <f t="shared" si="6"/>
        <v>#DIV/0!</v>
      </c>
      <c r="AS14" s="2">
        <f t="shared" si="10"/>
        <v>0</v>
      </c>
      <c r="AT14" s="11" t="str">
        <f t="shared" si="7"/>
        <v>FALSE</v>
      </c>
    </row>
    <row r="15" spans="2:46" s="2" customFormat="1" ht="21.95" customHeight="1" thickBot="1" x14ac:dyDescent="0.2">
      <c r="B15" s="386" t="s">
        <v>156</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 t="shared" ref="AD15" si="11">SUM(AD8:AE14)</f>
        <v>0</v>
      </c>
      <c r="AE15" s="329"/>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157</v>
      </c>
      <c r="M23" s="248"/>
      <c r="N23" s="248"/>
      <c r="O23" s="248"/>
      <c r="P23" s="248"/>
      <c r="Q23" s="248"/>
      <c r="R23" s="248"/>
      <c r="S23" s="248"/>
      <c r="T23" s="248"/>
      <c r="U23" s="248"/>
      <c r="V23" s="248"/>
      <c r="W23" s="248"/>
      <c r="X23" s="248"/>
      <c r="Y23" s="249"/>
      <c r="Z23" s="327">
        <f>SUM(Z21:AA22)</f>
        <v>0</v>
      </c>
      <c r="AA23" s="330"/>
      <c r="AB23" s="327">
        <f t="shared" ref="AB23" si="12">SUM(AB21:AC22)</f>
        <v>0</v>
      </c>
      <c r="AC23" s="330"/>
      <c r="AD23" s="327">
        <f t="shared" ref="AD23" si="13">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453" t="str">
        <f>IF(N29="","",N29-P29)</f>
        <v/>
      </c>
      <c r="S29" s="454"/>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335" t="str">
        <f>IF(N30="","",N30-P30)</f>
        <v/>
      </c>
      <c r="S30" s="336"/>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335" t="str">
        <f>IF(N31="","",N31-P31)</f>
        <v/>
      </c>
      <c r="S31" s="336"/>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335" t="str">
        <f>IF(N32="","",N32-P32)</f>
        <v/>
      </c>
      <c r="S32" s="336"/>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333" t="str">
        <f>IF(N33="","",N33-P33)</f>
        <v/>
      </c>
      <c r="S33" s="334"/>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158</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 t="shared" ref="AD34" si="14">SUM(AD29:AE33)</f>
        <v>0</v>
      </c>
      <c r="AE34" s="332"/>
      <c r="AH34" s="12"/>
      <c r="AO34" s="12"/>
      <c r="AP34" s="12"/>
    </row>
    <row r="35" spans="2:42"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2" s="2" customFormat="1" ht="21.75" customHeight="1" thickBot="1" x14ac:dyDescent="0.2">
      <c r="L36" s="4" t="s">
        <v>233</v>
      </c>
      <c r="U36" s="4"/>
      <c r="V36" s="4"/>
      <c r="X36" s="4"/>
    </row>
    <row r="37" spans="2:42"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row>
    <row r="38" spans="2:42"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row>
    <row r="39" spans="2:42"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row>
    <row r="40" spans="2:42"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row>
    <row r="41" spans="2:42"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row>
    <row r="42" spans="2:42" s="2" customFormat="1" ht="21.75" customHeight="1" thickBot="1" x14ac:dyDescent="0.2">
      <c r="L42" s="247" t="s">
        <v>252</v>
      </c>
      <c r="M42" s="248"/>
      <c r="N42" s="248"/>
      <c r="O42" s="248"/>
      <c r="P42" s="248"/>
      <c r="Q42" s="248"/>
      <c r="R42" s="248"/>
      <c r="S42" s="248"/>
      <c r="T42" s="248"/>
      <c r="U42" s="248"/>
      <c r="V42" s="248"/>
      <c r="W42" s="248"/>
      <c r="X42" s="248"/>
      <c r="Y42" s="248"/>
      <c r="Z42" s="248"/>
      <c r="AA42" s="249"/>
      <c r="AB42" s="327">
        <f>SUM(AB40:AB41)</f>
        <v>0</v>
      </c>
      <c r="AC42" s="328"/>
      <c r="AD42" s="328"/>
      <c r="AE42" s="329"/>
    </row>
    <row r="43" spans="2:42"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2" s="2" customFormat="1" ht="21.95" customHeight="1" thickBot="1" x14ac:dyDescent="0.2">
      <c r="B44" s="4" t="s">
        <v>244</v>
      </c>
      <c r="F44" s="4"/>
    </row>
    <row r="45" spans="2:42" s="2" customFormat="1" ht="21.95" customHeight="1" x14ac:dyDescent="0.15">
      <c r="B45" s="339" t="s">
        <v>159</v>
      </c>
      <c r="C45" s="463"/>
      <c r="D45" s="37" t="s">
        <v>31</v>
      </c>
      <c r="E45" s="37"/>
      <c r="F45" s="37"/>
      <c r="G45" s="37"/>
      <c r="H45" s="37"/>
      <c r="I45" s="90"/>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464"/>
      <c r="D46" s="14" t="s">
        <v>42</v>
      </c>
      <c r="E46" s="93"/>
      <c r="F46" s="93"/>
      <c r="G46" s="93"/>
      <c r="H46" s="93"/>
      <c r="I46" s="100"/>
      <c r="J46" s="94"/>
      <c r="K46" s="95"/>
      <c r="L46" s="95"/>
      <c r="M46" s="93"/>
      <c r="N46" s="96"/>
      <c r="O46" s="97"/>
      <c r="P46" s="97"/>
      <c r="Q46" s="10"/>
      <c r="R46" s="10"/>
      <c r="S46" s="93"/>
      <c r="T46" s="93"/>
      <c r="U46" s="10"/>
      <c r="V46" s="10"/>
      <c r="W46" s="98"/>
      <c r="X46" s="98"/>
      <c r="Y46" s="10"/>
      <c r="Z46" s="14"/>
      <c r="AA46" s="348">
        <f>$Z$15+$Z$23+$Z$34</f>
        <v>0</v>
      </c>
      <c r="AB46" s="348"/>
      <c r="AC46" s="348"/>
      <c r="AD46" s="302" t="s">
        <v>261</v>
      </c>
      <c r="AE46" s="303"/>
    </row>
    <row r="47" spans="2:42" s="2" customFormat="1" ht="21.95" customHeight="1" x14ac:dyDescent="0.15">
      <c r="B47" s="341"/>
      <c r="C47" s="464"/>
      <c r="D47" s="14" t="s">
        <v>43</v>
      </c>
      <c r="E47" s="14"/>
      <c r="F47" s="14"/>
      <c r="G47" s="14"/>
      <c r="H47" s="14"/>
      <c r="I47" s="91"/>
      <c r="J47" s="38"/>
      <c r="K47" s="14"/>
      <c r="L47" s="14"/>
      <c r="M47" s="14"/>
      <c r="N47" s="14"/>
      <c r="O47" s="14"/>
      <c r="P47" s="14"/>
      <c r="Q47" s="14"/>
      <c r="R47" s="14"/>
      <c r="S47" s="14"/>
      <c r="T47" s="14"/>
      <c r="U47" s="14"/>
      <c r="V47" s="14"/>
      <c r="W47" s="14"/>
      <c r="X47" s="14"/>
      <c r="Y47" s="14"/>
      <c r="Z47" s="14"/>
      <c r="AA47" s="348">
        <f>IF(共通条件・結果!AA7="８地域","-",$AB$15+$AB$23+$AB$34)</f>
        <v>0</v>
      </c>
      <c r="AB47" s="348"/>
      <c r="AC47" s="348"/>
      <c r="AD47" s="302" t="s">
        <v>261</v>
      </c>
      <c r="AE47" s="303"/>
    </row>
    <row r="48" spans="2:42" s="2" customFormat="1" ht="21.95" customHeight="1" thickBot="1" x14ac:dyDescent="0.2">
      <c r="B48" s="343"/>
      <c r="C48" s="465"/>
      <c r="D48" s="15" t="s">
        <v>12</v>
      </c>
      <c r="E48" s="15"/>
      <c r="F48" s="15"/>
      <c r="G48" s="15"/>
      <c r="H48" s="15"/>
      <c r="I48" s="89"/>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Vaztej7r/EAYQe+AhXCNys5sOcLdhbWnqzPEsoOG0x6kEYmqfVS0zFo96xSFvdJXE7EAljAy5/YGYBXhIqNrCQ==" saltValue="OqkZ2zQ4hGcnAJtVE4rtew==" spinCount="100000" sheet="1" selectLockedCells="1"/>
  <mergeCells count="273">
    <mergeCell ref="N10:O10"/>
    <mergeCell ref="P10:Q10"/>
    <mergeCell ref="AD46:AE46"/>
    <mergeCell ref="AD47:AE47"/>
    <mergeCell ref="L8:M8"/>
    <mergeCell ref="AB9:AC9"/>
    <mergeCell ref="AB42:AE42"/>
    <mergeCell ref="L42:AA42"/>
    <mergeCell ref="Z15:AA15"/>
    <mergeCell ref="AB15:AC15"/>
    <mergeCell ref="AD15:AE15"/>
    <mergeCell ref="B15:Y15"/>
    <mergeCell ref="Z23:AA23"/>
    <mergeCell ref="AB23:AC23"/>
    <mergeCell ref="AD23:AE23"/>
    <mergeCell ref="Z34:AA34"/>
    <mergeCell ref="AB34:AC34"/>
    <mergeCell ref="AD34:AE34"/>
    <mergeCell ref="L34:Y34"/>
    <mergeCell ref="X22:Y22"/>
    <mergeCell ref="Z22:AA22"/>
    <mergeCell ref="AB22:AC22"/>
    <mergeCell ref="AD22:AE22"/>
    <mergeCell ref="X21:Y21"/>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AI6:AJ6"/>
    <mergeCell ref="AM6:AN6"/>
    <mergeCell ref="AP6:AQ6"/>
    <mergeCell ref="AS6:AT6"/>
    <mergeCell ref="T7:U7"/>
    <mergeCell ref="V7:W7"/>
    <mergeCell ref="X7:Y7"/>
    <mergeCell ref="R9:S9"/>
    <mergeCell ref="T9:U9"/>
    <mergeCell ref="V9:W9"/>
    <mergeCell ref="X9:Y9"/>
    <mergeCell ref="Z9:AA9"/>
    <mergeCell ref="AD9:AE9"/>
    <mergeCell ref="P9:Q9"/>
    <mergeCell ref="Z8:AA8"/>
    <mergeCell ref="AB8:AC8"/>
    <mergeCell ref="AD8:AE8"/>
    <mergeCell ref="R8:S8"/>
    <mergeCell ref="T8:U8"/>
    <mergeCell ref="V8:W8"/>
    <mergeCell ref="X8:Y8"/>
    <mergeCell ref="B9:C9"/>
    <mergeCell ref="D9:E9"/>
    <mergeCell ref="F9:G9"/>
    <mergeCell ref="H9:I9"/>
    <mergeCell ref="J9:K9"/>
    <mergeCell ref="L9:M9"/>
    <mergeCell ref="N9:O9"/>
    <mergeCell ref="N8:O8"/>
    <mergeCell ref="P8:Q8"/>
    <mergeCell ref="B8:C8"/>
    <mergeCell ref="D8:E8"/>
    <mergeCell ref="F8:G8"/>
    <mergeCell ref="H8:I8"/>
    <mergeCell ref="J8:K8"/>
    <mergeCell ref="F10:G10"/>
    <mergeCell ref="T11:U11"/>
    <mergeCell ref="V11:W11"/>
    <mergeCell ref="X11:Y11"/>
    <mergeCell ref="Z11:AA11"/>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H10:I10"/>
    <mergeCell ref="J10:K10"/>
    <mergeCell ref="L10:M10"/>
    <mergeCell ref="Z12:AA12"/>
    <mergeCell ref="AB12:AC12"/>
    <mergeCell ref="AD12:AE12"/>
    <mergeCell ref="B13:C13"/>
    <mergeCell ref="D13:E13"/>
    <mergeCell ref="F13:G13"/>
    <mergeCell ref="H13:I13"/>
    <mergeCell ref="J13:K13"/>
    <mergeCell ref="L13:M13"/>
    <mergeCell ref="N13:O13"/>
    <mergeCell ref="N12:O12"/>
    <mergeCell ref="P12:Q12"/>
    <mergeCell ref="R12:S12"/>
    <mergeCell ref="T12:U12"/>
    <mergeCell ref="V12:W12"/>
    <mergeCell ref="X12:Y12"/>
    <mergeCell ref="B12:C12"/>
    <mergeCell ref="D12:E12"/>
    <mergeCell ref="F12:G12"/>
    <mergeCell ref="H12:I12"/>
    <mergeCell ref="J12:K12"/>
    <mergeCell ref="L12:M12"/>
    <mergeCell ref="AB13:AC13"/>
    <mergeCell ref="AD13:AE13"/>
    <mergeCell ref="R13:S13"/>
    <mergeCell ref="T13:U13"/>
    <mergeCell ref="V13:W13"/>
    <mergeCell ref="X13:Y13"/>
    <mergeCell ref="Z13:AA13"/>
    <mergeCell ref="P13:Q13"/>
    <mergeCell ref="AD18:AE20"/>
    <mergeCell ref="X19:Y20"/>
    <mergeCell ref="Z19:AA20"/>
    <mergeCell ref="AB19:AC20"/>
    <mergeCell ref="AI19:AJ19"/>
    <mergeCell ref="AS19:AT19"/>
    <mergeCell ref="AD14:AE14"/>
    <mergeCell ref="X18:AC18"/>
    <mergeCell ref="AD21:AE21"/>
    <mergeCell ref="Z21:AA21"/>
    <mergeCell ref="AB21:AC21"/>
    <mergeCell ref="B14:C14"/>
    <mergeCell ref="D14:E14"/>
    <mergeCell ref="F14:G14"/>
    <mergeCell ref="H14:I14"/>
    <mergeCell ref="J14:K14"/>
    <mergeCell ref="L14:M14"/>
    <mergeCell ref="N14:O14"/>
    <mergeCell ref="P14:Q14"/>
    <mergeCell ref="AS16:AT16"/>
    <mergeCell ref="R14:S14"/>
    <mergeCell ref="T14:U14"/>
    <mergeCell ref="V14:W14"/>
    <mergeCell ref="X14:Y14"/>
    <mergeCell ref="Z14:AA14"/>
    <mergeCell ref="AB14:AC14"/>
    <mergeCell ref="AD26:AE28"/>
    <mergeCell ref="X27:Y28"/>
    <mergeCell ref="Z27:AA28"/>
    <mergeCell ref="AB27:AC28"/>
    <mergeCell ref="AI27:AJ27"/>
    <mergeCell ref="L26:M28"/>
    <mergeCell ref="N26:O28"/>
    <mergeCell ref="P26:Q28"/>
    <mergeCell ref="R26:S28"/>
    <mergeCell ref="T26:U28"/>
    <mergeCell ref="V26:W28"/>
    <mergeCell ref="X26:AC26"/>
    <mergeCell ref="AD32:AE32"/>
    <mergeCell ref="X29:Y29"/>
    <mergeCell ref="Z29:AA29"/>
    <mergeCell ref="AB29:AC29"/>
    <mergeCell ref="AD29:AE29"/>
    <mergeCell ref="L30:M30"/>
    <mergeCell ref="N30:O30"/>
    <mergeCell ref="P30:Q30"/>
    <mergeCell ref="R30:S30"/>
    <mergeCell ref="T30:U30"/>
    <mergeCell ref="V30:W30"/>
    <mergeCell ref="L29:M29"/>
    <mergeCell ref="N29:O29"/>
    <mergeCell ref="P29:Q29"/>
    <mergeCell ref="R29:S29"/>
    <mergeCell ref="T29:U29"/>
    <mergeCell ref="V29:W29"/>
    <mergeCell ref="X30:Y30"/>
    <mergeCell ref="Z30:AA30"/>
    <mergeCell ref="AB30:AC30"/>
    <mergeCell ref="AD30:AE30"/>
    <mergeCell ref="S45:T45"/>
    <mergeCell ref="AD31:AE31"/>
    <mergeCell ref="L32:M32"/>
    <mergeCell ref="N32:O32"/>
    <mergeCell ref="P32:Q32"/>
    <mergeCell ref="R32:S32"/>
    <mergeCell ref="T32:U32"/>
    <mergeCell ref="V32:W32"/>
    <mergeCell ref="X33:Y33"/>
    <mergeCell ref="Z33:AA33"/>
    <mergeCell ref="AB33:AC33"/>
    <mergeCell ref="AD33:AE33"/>
    <mergeCell ref="L31:M31"/>
    <mergeCell ref="N31:O31"/>
    <mergeCell ref="P31:Q31"/>
    <mergeCell ref="R31:S31"/>
    <mergeCell ref="T31:U31"/>
    <mergeCell ref="V31:W31"/>
    <mergeCell ref="X31:Y31"/>
    <mergeCell ref="Z31:AA31"/>
    <mergeCell ref="AB31:AC31"/>
    <mergeCell ref="X32:Y32"/>
    <mergeCell ref="Z32:AA32"/>
    <mergeCell ref="AB32:AC32"/>
    <mergeCell ref="AA46:AC46"/>
    <mergeCell ref="W45:X45"/>
    <mergeCell ref="B45:C48"/>
    <mergeCell ref="AC45:AD45"/>
    <mergeCell ref="AA47:AC47"/>
    <mergeCell ref="AA48:AC48"/>
    <mergeCell ref="L37:M39"/>
    <mergeCell ref="N37:S38"/>
    <mergeCell ref="T37:W39"/>
    <mergeCell ref="X37:AA39"/>
    <mergeCell ref="AB37:AE39"/>
    <mergeCell ref="N39:P39"/>
    <mergeCell ref="Q39:S39"/>
    <mergeCell ref="N40:P40"/>
    <mergeCell ref="Q40:S40"/>
    <mergeCell ref="X41:AA41"/>
    <mergeCell ref="AB41:AE41"/>
    <mergeCell ref="J45:L45"/>
    <mergeCell ref="O45:P45"/>
    <mergeCell ref="T40:W40"/>
    <mergeCell ref="X40:AA40"/>
    <mergeCell ref="AB40:AE40"/>
    <mergeCell ref="N41:P41"/>
    <mergeCell ref="L40:M40"/>
    <mergeCell ref="L41:M41"/>
    <mergeCell ref="L33:M33"/>
    <mergeCell ref="N33:O33"/>
    <mergeCell ref="P33:Q33"/>
    <mergeCell ref="R33:S33"/>
    <mergeCell ref="T33:U33"/>
    <mergeCell ref="V33:W33"/>
    <mergeCell ref="T41:W41"/>
    <mergeCell ref="Q41:S41"/>
    <mergeCell ref="L22:M22"/>
    <mergeCell ref="N22:O22"/>
    <mergeCell ref="P22:Q22"/>
    <mergeCell ref="R22:S22"/>
    <mergeCell ref="T22:U22"/>
    <mergeCell ref="V22:W22"/>
    <mergeCell ref="L23:Y23"/>
    <mergeCell ref="L18:M20"/>
    <mergeCell ref="N18:Q19"/>
    <mergeCell ref="R18:S20"/>
    <mergeCell ref="T18:U20"/>
    <mergeCell ref="V18:W20"/>
    <mergeCell ref="N20:O20"/>
    <mergeCell ref="P20:Q20"/>
    <mergeCell ref="L21:M21"/>
    <mergeCell ref="N21:O21"/>
    <mergeCell ref="P21:Q21"/>
    <mergeCell ref="R21:S21"/>
    <mergeCell ref="T21:U21"/>
    <mergeCell ref="V21:W21"/>
  </mergeCells>
  <phoneticPr fontId="4"/>
  <conditionalFormatting sqref="B8:Y14">
    <cfRule type="expression" dxfId="163" priority="183" stopIfTrue="1">
      <formula>$AH$3&lt;&gt;2</formula>
    </cfRule>
  </conditionalFormatting>
  <conditionalFormatting sqref="J45:J46">
    <cfRule type="expression" dxfId="162" priority="1288" stopIfTrue="1">
      <formula>$J$45=0</formula>
    </cfRule>
  </conditionalFormatting>
  <conditionalFormatting sqref="J45:L45">
    <cfRule type="expression" dxfId="161" priority="359">
      <formula>$AH$3&lt;&gt;2</formula>
    </cfRule>
  </conditionalFormatting>
  <conditionalFormatting sqref="L29:Q33">
    <cfRule type="expression" dxfId="160" priority="101" stopIfTrue="1">
      <formula>$AH$3&lt;&gt;2</formula>
    </cfRule>
  </conditionalFormatting>
  <conditionalFormatting sqref="L21:Y22">
    <cfRule type="expression" dxfId="159" priority="155" stopIfTrue="1">
      <formula>$AH$3&lt;&gt;2</formula>
    </cfRule>
  </conditionalFormatting>
  <conditionalFormatting sqref="L40:AA41">
    <cfRule type="expression" dxfId="158" priority="63" stopIfTrue="1">
      <formula>$AH$3&lt;&gt;2</formula>
    </cfRule>
  </conditionalFormatting>
  <conditionalFormatting sqref="O45:P45">
    <cfRule type="expression" dxfId="157" priority="358">
      <formula>$AH$3&lt;&gt;2</formula>
    </cfRule>
  </conditionalFormatting>
  <conditionalFormatting sqref="O45:P46">
    <cfRule type="expression" dxfId="156" priority="1289" stopIfTrue="1">
      <formula>$O$45=0</formula>
    </cfRule>
  </conditionalFormatting>
  <conditionalFormatting sqref="R29:S33">
    <cfRule type="expression" dxfId="155" priority="11">
      <formula>$AH$3&lt;&gt;2</formula>
    </cfRule>
  </conditionalFormatting>
  <conditionalFormatting sqref="S45:T45">
    <cfRule type="expression" dxfId="154" priority="357">
      <formula>$AH$3&lt;&gt;2</formula>
    </cfRule>
  </conditionalFormatting>
  <conditionalFormatting sqref="S45:T46">
    <cfRule type="expression" dxfId="153" priority="1287" stopIfTrue="1">
      <formula>$S$45=0</formula>
    </cfRule>
  </conditionalFormatting>
  <conditionalFormatting sqref="T8:Y14">
    <cfRule type="expression" dxfId="152" priority="351">
      <formula>$AL8=TRUE</formula>
    </cfRule>
  </conditionalFormatting>
  <conditionalFormatting sqref="T29:Y33">
    <cfRule type="expression" dxfId="151" priority="95" stopIfTrue="1">
      <formula>$AH$3&lt;&gt;2</formula>
    </cfRule>
  </conditionalFormatting>
  <conditionalFormatting sqref="W45:X45">
    <cfRule type="expression" dxfId="150" priority="356">
      <formula>$AH$3&lt;&gt;2</formula>
    </cfRule>
  </conditionalFormatting>
  <conditionalFormatting sqref="W46:X46">
    <cfRule type="expression" dxfId="149" priority="1296" stopIfTrue="1">
      <formula>$W$45=0</formula>
    </cfRule>
  </conditionalFormatting>
  <conditionalFormatting sqref="Z4:AC4">
    <cfRule type="expression" dxfId="148" priority="61">
      <formula>$AH$3&lt;&gt;2</formula>
    </cfRule>
  </conditionalFormatting>
  <conditionalFormatting sqref="Z8:AE15">
    <cfRule type="expression" dxfId="147" priority="37">
      <formula>$AH$3&lt;&gt;2</formula>
    </cfRule>
  </conditionalFormatting>
  <conditionalFormatting sqref="Z21:AE23">
    <cfRule type="expression" dxfId="146" priority="28">
      <formula>$AH$3&lt;&gt;2</formula>
    </cfRule>
  </conditionalFormatting>
  <conditionalFormatting sqref="Z29:AE34">
    <cfRule type="expression" dxfId="145" priority="5">
      <formula>$AH$3&lt;&gt;2</formula>
    </cfRule>
  </conditionalFormatting>
  <conditionalFormatting sqref="AA46:AC48">
    <cfRule type="expression" dxfId="144" priority="1">
      <formula>$AH$3&lt;&gt;2</formula>
    </cfRule>
  </conditionalFormatting>
  <conditionalFormatting sqref="AB40:AE41">
    <cfRule type="expression" dxfId="143" priority="3">
      <formula>$AH$3&lt;&gt;2</formula>
    </cfRule>
  </conditionalFormatting>
  <conditionalFormatting sqref="AC45:AD45">
    <cfRule type="expression" dxfId="142" priority="355">
      <formula>$AH$3&lt;&gt;2</formula>
    </cfRule>
  </conditionalFormatting>
  <conditionalFormatting sqref="AE8:AE14">
    <cfRule type="expression" dxfId="141" priority="395">
      <formula>$AH$3&lt;&gt;2</formula>
    </cfRule>
  </conditionalFormatting>
  <conditionalFormatting sqref="AE40:AE42">
    <cfRule type="expression" dxfId="140" priority="360">
      <formula>$AH$3&lt;&gt;2</formula>
    </cfRule>
  </conditionalFormatting>
  <dataValidations count="3">
    <dataValidation type="list" showInputMessage="1" showErrorMessage="1" sqref="V29:W33 X40:X41 V21:W22 P8:Q14" xr:uid="{00000000-0002-0000-0300-000000000000}">
      <formula1>"1.0,0.7,0.05,0.15,0"</formula1>
    </dataValidation>
    <dataValidation type="list" allowBlank="1" showInputMessage="1" showErrorMessage="1" sqref="N8:N14 T21:T22" xr:uid="{00000000-0002-0000-0300-000001000000}">
      <formula1>"　,雨戸,ｼｬｯﾀｰ,障子,風除室"</formula1>
    </dataValidation>
    <dataValidation type="list" allowBlank="1" showInputMessage="1" showErrorMessage="1" sqref="T40:T41" xr:uid="{00000000-0002-0000-03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48484"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48485"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48486"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48487"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48488"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48489"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48490"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48491"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48492"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48493"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48494"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48495"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48496"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48497"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48498"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48499"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48500"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48501"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48520" r:id="rId25" name="Check Box 40">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48521" r:id="rId26" name="Check Box 41">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48522" r:id="rId27" name="Check Box 42">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T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107</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0.528",IF(共通条件・結果!AA7="７地域",0.49,IF(共通条件・結果!AA7="６地域",0.498,IF(共通条件・結果!AA7="５地域",0.5,IF(共通条件・結果!AA7="４地域",0.508,IF(共通条件・結果!AA7="３地域",0.487,IF(共通条件・結果!AA7="２地域",0.527,IF(共通条件・結果!AA7="１地域",0.56))))))))</f>
        <v>0.48699999999999999</v>
      </c>
      <c r="AA4" s="429"/>
      <c r="AB4" s="430">
        <f>IF(共通条件・結果!AA7="８地域","-",IF(共通条件・結果!AA7="７地域",0.843,IF(共通条件・結果!AA7="６地域",0.833,IF(共通条件・結果!AA7="５地域",0.846,IF(共通条件・結果!AA7="４地域",0.724,IF(共通条件・結果!AA7="３地域",0.751,IF(共通条件・結果!AA7="２地域",0.766,IF(共通条件・結果!AA7="１地域",0.823))))))))</f>
        <v>0.751</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50"/>
      <c r="E8" s="287"/>
      <c r="F8" s="292"/>
      <c r="G8" s="251"/>
      <c r="H8" s="250"/>
      <c r="I8" s="251"/>
      <c r="J8" s="472"/>
      <c r="K8" s="473"/>
      <c r="L8" s="474"/>
      <c r="M8" s="475"/>
      <c r="N8" s="379"/>
      <c r="O8" s="380"/>
      <c r="P8" s="451"/>
      <c r="Q8" s="452"/>
      <c r="R8" s="461"/>
      <c r="S8" s="462"/>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IF(共通条件・結果!$AA$7="８地域",0.01*(16+19*(2*V8+X8)/T8),0.01*(16+24*(2*V8+X8)/T8))</f>
        <v>#DIV/0!</v>
      </c>
      <c r="AQ8" s="2" t="e">
        <f t="shared" ref="AQ8:AQ14" si="5">0.01*(5+20*(3*V8+X8)/T8)</f>
        <v>#DIV/0!</v>
      </c>
      <c r="AS8" s="2">
        <f>IF(AT8="FALSE",H8,IF(N8="風除室",1/((1/H8)+0.1),0.5*H8+0.5*(1/((1/H8)+AT8))))</f>
        <v>0</v>
      </c>
      <c r="AT8" s="11" t="str">
        <f t="shared" ref="AT8:AT14" si="6">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409"/>
      <c r="Q9" s="410"/>
      <c r="R9" s="293"/>
      <c r="S9" s="460"/>
      <c r="T9" s="404"/>
      <c r="U9" s="405"/>
      <c r="V9" s="404"/>
      <c r="W9" s="406"/>
      <c r="X9" s="407"/>
      <c r="Y9" s="408"/>
      <c r="Z9" s="365" t="str">
        <f t="shared" si="0"/>
        <v/>
      </c>
      <c r="AA9" s="365"/>
      <c r="AB9" s="365" t="str">
        <f t="shared" si="1"/>
        <v/>
      </c>
      <c r="AC9" s="365"/>
      <c r="AD9" s="365" t="str">
        <f>IF(D9="","",D9*F9*AS9*P9)</f>
        <v/>
      </c>
      <c r="AE9" s="403"/>
      <c r="AH9" s="12" t="b">
        <v>1</v>
      </c>
      <c r="AI9" s="2">
        <f t="shared" si="3"/>
        <v>0</v>
      </c>
      <c r="AJ9" s="2">
        <f t="shared" si="4"/>
        <v>0</v>
      </c>
      <c r="AL9" s="12" t="b">
        <v>1</v>
      </c>
      <c r="AM9" s="2" t="str">
        <f t="shared" ref="AM9:AM14" si="7">IF(AL9=TRUE,"0.93",IF(ISERROR(AP9),"エラー",IF(AP9&gt;0.93,"0.93",AP9)))</f>
        <v>0.93</v>
      </c>
      <c r="AN9" s="2" t="str">
        <f t="shared" ref="AN9:AN14" si="8">IF(AL9=TRUE,"0.51",IF(ISERROR(AQ9),"エラー",IF(AQ9&gt;0.72,"0.72",AQ9)))</f>
        <v>0.51</v>
      </c>
      <c r="AP9" s="2" t="e">
        <f>IF(共通条件・結果!$AA$7="８地域",0.01*(16+19*(2*V9+X9)/T9),0.01*(16+24*(2*V9+X9)/T9))</f>
        <v>#DIV/0!</v>
      </c>
      <c r="AQ9" s="2" t="e">
        <f t="shared" si="5"/>
        <v>#DIV/0!</v>
      </c>
      <c r="AS9" s="2">
        <f>IF(AT9="FALSE",H9,IF(N9="風除室",1/((1/H9)+0.1),0.5*H9+0.5*(1/((1/H9)+AT9))))</f>
        <v>0</v>
      </c>
      <c r="AT9" s="11" t="str">
        <f t="shared" si="6"/>
        <v>FALSE</v>
      </c>
    </row>
    <row r="10" spans="2:46" s="2" customFormat="1" ht="21.95" customHeight="1" x14ac:dyDescent="0.15">
      <c r="B10" s="295"/>
      <c r="C10" s="296"/>
      <c r="D10" s="289"/>
      <c r="E10" s="299"/>
      <c r="F10" s="291"/>
      <c r="G10" s="290"/>
      <c r="H10" s="289"/>
      <c r="I10" s="290"/>
      <c r="J10" s="293"/>
      <c r="K10" s="294"/>
      <c r="L10" s="289"/>
      <c r="M10" s="290"/>
      <c r="N10" s="245"/>
      <c r="O10" s="246"/>
      <c r="P10" s="409"/>
      <c r="Q10" s="410"/>
      <c r="R10" s="293"/>
      <c r="S10" s="460"/>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7"/>
        <v>0.93</v>
      </c>
      <c r="AN10" s="2" t="str">
        <f t="shared" si="8"/>
        <v>0.51</v>
      </c>
      <c r="AP10" s="2" t="e">
        <f>IF(共通条件・結果!$AA$7="８地域",0.01*(16+19*(2*V10+X10)/T10),0.01*(16+24*(2*V10+X10)/T10))</f>
        <v>#DIV/0!</v>
      </c>
      <c r="AQ10" s="2" t="e">
        <f t="shared" si="5"/>
        <v>#DIV/0!</v>
      </c>
      <c r="AS10" s="2">
        <f t="shared" ref="AS10:AS14" si="9">IF(AT10="FALSE",H10,IF(N10="風除室",1/((1/H10)+0.1),0.5*H10+0.5*(1/((1/H10)+AT10))))</f>
        <v>0</v>
      </c>
      <c r="AT10" s="11" t="str">
        <f t="shared" si="6"/>
        <v>FALSE</v>
      </c>
    </row>
    <row r="11" spans="2:46" s="2" customFormat="1" ht="21.95" customHeight="1" x14ac:dyDescent="0.15">
      <c r="B11" s="295"/>
      <c r="C11" s="296"/>
      <c r="D11" s="289"/>
      <c r="E11" s="299"/>
      <c r="F11" s="291"/>
      <c r="G11" s="290"/>
      <c r="H11" s="289"/>
      <c r="I11" s="290"/>
      <c r="J11" s="293"/>
      <c r="K11" s="294"/>
      <c r="L11" s="289"/>
      <c r="M11" s="290"/>
      <c r="N11" s="245"/>
      <c r="O11" s="246"/>
      <c r="P11" s="409"/>
      <c r="Q11" s="410"/>
      <c r="R11" s="293"/>
      <c r="S11" s="460"/>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7"/>
        <v>0.93</v>
      </c>
      <c r="AN11" s="2" t="str">
        <f t="shared" si="8"/>
        <v>0.51</v>
      </c>
      <c r="AP11" s="2" t="e">
        <f>IF(共通条件・結果!$AA$7="８地域",0.01*(16+19*(2*V11+X11)/T11),0.01*(16+24*(2*V11+X11)/T11))</f>
        <v>#DIV/0!</v>
      </c>
      <c r="AQ11" s="2" t="e">
        <f t="shared" si="5"/>
        <v>#DIV/0!</v>
      </c>
      <c r="AS11" s="2">
        <f t="shared" si="9"/>
        <v>0</v>
      </c>
      <c r="AT11" s="11" t="str">
        <f t="shared" si="6"/>
        <v>FALSE</v>
      </c>
    </row>
    <row r="12" spans="2:46" s="2" customFormat="1" ht="21.95" customHeight="1" x14ac:dyDescent="0.15">
      <c r="B12" s="295"/>
      <c r="C12" s="296"/>
      <c r="D12" s="289"/>
      <c r="E12" s="299"/>
      <c r="F12" s="291"/>
      <c r="G12" s="290"/>
      <c r="H12" s="289"/>
      <c r="I12" s="290"/>
      <c r="J12" s="293"/>
      <c r="K12" s="294"/>
      <c r="L12" s="289"/>
      <c r="M12" s="290"/>
      <c r="N12" s="245"/>
      <c r="O12" s="246"/>
      <c r="P12" s="409"/>
      <c r="Q12" s="410"/>
      <c r="R12" s="293"/>
      <c r="S12" s="460"/>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7"/>
        <v>0.93</v>
      </c>
      <c r="AN12" s="2" t="str">
        <f t="shared" si="8"/>
        <v>0.51</v>
      </c>
      <c r="AP12" s="2" t="e">
        <f>IF(共通条件・結果!$AA$7="８地域",0.01*(16+19*(2*V12+X12)/T12),0.01*(16+24*(2*V12+X12)/T12))</f>
        <v>#DIV/0!</v>
      </c>
      <c r="AQ12" s="2" t="e">
        <f t="shared" si="5"/>
        <v>#DIV/0!</v>
      </c>
      <c r="AS12" s="2">
        <f t="shared" si="9"/>
        <v>0</v>
      </c>
      <c r="AT12" s="11" t="str">
        <f t="shared" si="6"/>
        <v>FALSE</v>
      </c>
    </row>
    <row r="13" spans="2:46" s="2" customFormat="1" ht="21.95" customHeight="1" x14ac:dyDescent="0.15">
      <c r="B13" s="295"/>
      <c r="C13" s="296"/>
      <c r="D13" s="289"/>
      <c r="E13" s="299"/>
      <c r="F13" s="291"/>
      <c r="G13" s="290"/>
      <c r="H13" s="289"/>
      <c r="I13" s="290"/>
      <c r="J13" s="293"/>
      <c r="K13" s="294"/>
      <c r="L13" s="289"/>
      <c r="M13" s="290"/>
      <c r="N13" s="245"/>
      <c r="O13" s="246"/>
      <c r="P13" s="409"/>
      <c r="Q13" s="410"/>
      <c r="R13" s="293"/>
      <c r="S13" s="460"/>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7"/>
        <v>0.93</v>
      </c>
      <c r="AN13" s="2" t="str">
        <f t="shared" si="8"/>
        <v>0.51</v>
      </c>
      <c r="AP13" s="2" t="e">
        <f>IF(共通条件・結果!$AA$7="８地域",0.01*(16+19*(2*V13+X13)/T13),0.01*(16+24*(2*V13+X13)/T13))</f>
        <v>#DIV/0!</v>
      </c>
      <c r="AQ13" s="2" t="e">
        <f t="shared" si="5"/>
        <v>#DIV/0!</v>
      </c>
      <c r="AS13" s="2">
        <f t="shared" si="9"/>
        <v>0</v>
      </c>
      <c r="AT13" s="11" t="str">
        <f t="shared" si="6"/>
        <v>FALSE</v>
      </c>
    </row>
    <row r="14" spans="2:46" s="2" customFormat="1" ht="21.95" customHeight="1" thickBot="1" x14ac:dyDescent="0.2">
      <c r="B14" s="304"/>
      <c r="C14" s="305"/>
      <c r="D14" s="306"/>
      <c r="E14" s="384"/>
      <c r="F14" s="385"/>
      <c r="G14" s="307"/>
      <c r="H14" s="306"/>
      <c r="I14" s="307"/>
      <c r="J14" s="455"/>
      <c r="K14" s="456"/>
      <c r="L14" s="457"/>
      <c r="M14" s="458"/>
      <c r="N14" s="391"/>
      <c r="O14" s="392"/>
      <c r="P14" s="401"/>
      <c r="Q14" s="402"/>
      <c r="R14" s="455"/>
      <c r="S14" s="459"/>
      <c r="T14" s="394"/>
      <c r="U14" s="395"/>
      <c r="V14" s="394"/>
      <c r="W14" s="396"/>
      <c r="X14" s="397"/>
      <c r="Y14" s="398"/>
      <c r="Z14" s="399" t="str">
        <f t="shared" si="0"/>
        <v/>
      </c>
      <c r="AA14" s="400"/>
      <c r="AB14" s="389" t="str">
        <f t="shared" si="1"/>
        <v/>
      </c>
      <c r="AC14" s="389"/>
      <c r="AD14" s="389" t="str">
        <f t="shared" si="2"/>
        <v/>
      </c>
      <c r="AE14" s="390"/>
      <c r="AH14" s="12" t="b">
        <v>1</v>
      </c>
      <c r="AI14" s="2">
        <f t="shared" si="3"/>
        <v>0</v>
      </c>
      <c r="AJ14" s="2">
        <f t="shared" si="4"/>
        <v>0</v>
      </c>
      <c r="AL14" s="12" t="b">
        <v>1</v>
      </c>
      <c r="AM14" s="2" t="str">
        <f t="shared" si="7"/>
        <v>0.93</v>
      </c>
      <c r="AN14" s="2" t="str">
        <f t="shared" si="8"/>
        <v>0.51</v>
      </c>
      <c r="AP14" s="2" t="e">
        <f>IF(共通条件・結果!$AA$7="８地域",0.01*(16+19*(2*V14+X14)/T14),0.01*(16+24*(2*V14+X14)/T14))</f>
        <v>#DIV/0!</v>
      </c>
      <c r="AQ14" s="2" t="e">
        <f t="shared" si="5"/>
        <v>#DIV/0!</v>
      </c>
      <c r="AS14" s="2">
        <f t="shared" si="9"/>
        <v>0</v>
      </c>
      <c r="AT14" s="11" t="str">
        <f t="shared" si="6"/>
        <v>FALSE</v>
      </c>
    </row>
    <row r="15" spans="2:46" s="2" customFormat="1" ht="21.95" customHeight="1" thickBot="1" x14ac:dyDescent="0.2">
      <c r="B15" s="386" t="s">
        <v>108</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 t="shared" ref="AD15" si="10">SUM(AD8:AE14)</f>
        <v>0</v>
      </c>
      <c r="AE15" s="329"/>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109</v>
      </c>
      <c r="M23" s="248"/>
      <c r="N23" s="248"/>
      <c r="O23" s="248"/>
      <c r="P23" s="248"/>
      <c r="Q23" s="248"/>
      <c r="R23" s="248"/>
      <c r="S23" s="248"/>
      <c r="T23" s="248"/>
      <c r="U23" s="248"/>
      <c r="V23" s="248"/>
      <c r="W23" s="248"/>
      <c r="X23" s="248"/>
      <c r="Y23" s="249"/>
      <c r="Z23" s="327">
        <f>SUM(Z21:AA22)</f>
        <v>0</v>
      </c>
      <c r="AA23" s="330"/>
      <c r="AB23" s="327">
        <f t="shared" ref="AB23" si="11">SUM(AB21:AC22)</f>
        <v>0</v>
      </c>
      <c r="AC23" s="330"/>
      <c r="AD23" s="327">
        <f t="shared" ref="AD23" si="12">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470" t="str">
        <f>IF(N29="","",N29-P29)</f>
        <v/>
      </c>
      <c r="S29" s="471"/>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466" t="str">
        <f>IF(N30="","",N30-P30)</f>
        <v/>
      </c>
      <c r="S30" s="467"/>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466" t="str">
        <f>IF(N31="","",N31-P31)</f>
        <v/>
      </c>
      <c r="S31" s="467"/>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466" t="str">
        <f>IF(N32="","",N32-P32)</f>
        <v/>
      </c>
      <c r="S32" s="467"/>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468" t="str">
        <f>IF(N33="","",N33-P33)</f>
        <v/>
      </c>
      <c r="S33" s="469"/>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110</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 t="shared" ref="AD34" si="13">SUM(AD29:AE33)</f>
        <v>0</v>
      </c>
      <c r="AE34" s="332"/>
      <c r="AH34" s="12"/>
      <c r="AO34" s="12"/>
      <c r="AP34" s="12"/>
    </row>
    <row r="35" spans="2:42"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2" s="2" customFormat="1" ht="21.75" customHeight="1" thickBot="1" x14ac:dyDescent="0.2">
      <c r="L36" s="4" t="s">
        <v>233</v>
      </c>
      <c r="U36" s="4"/>
      <c r="V36" s="4"/>
      <c r="X36" s="4"/>
    </row>
    <row r="37" spans="2:42"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row>
    <row r="38" spans="2:42"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row>
    <row r="39" spans="2:42"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row>
    <row r="40" spans="2:42"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row>
    <row r="41" spans="2:42"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row>
    <row r="42" spans="2:42" s="2" customFormat="1" ht="21.75" customHeight="1" thickBot="1" x14ac:dyDescent="0.2">
      <c r="L42" s="247" t="s">
        <v>251</v>
      </c>
      <c r="M42" s="248"/>
      <c r="N42" s="248"/>
      <c r="O42" s="248"/>
      <c r="P42" s="248"/>
      <c r="Q42" s="248"/>
      <c r="R42" s="248"/>
      <c r="S42" s="248"/>
      <c r="T42" s="248"/>
      <c r="U42" s="248"/>
      <c r="V42" s="248"/>
      <c r="W42" s="248"/>
      <c r="X42" s="248"/>
      <c r="Y42" s="248"/>
      <c r="Z42" s="248"/>
      <c r="AA42" s="249"/>
      <c r="AB42" s="327">
        <f>SUM(AB40:AB41)</f>
        <v>0</v>
      </c>
      <c r="AC42" s="328"/>
      <c r="AD42" s="328"/>
      <c r="AE42" s="329"/>
    </row>
    <row r="43" spans="2:42"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2" s="2" customFormat="1" ht="21.95" customHeight="1" thickBot="1" x14ac:dyDescent="0.2">
      <c r="B44" s="4" t="s">
        <v>243</v>
      </c>
      <c r="F44" s="4"/>
    </row>
    <row r="45" spans="2:42" s="2" customFormat="1" ht="21.95" customHeight="1" x14ac:dyDescent="0.15">
      <c r="B45" s="339" t="s">
        <v>111</v>
      </c>
      <c r="C45" s="340"/>
      <c r="D45" s="36" t="s">
        <v>31</v>
      </c>
      <c r="E45" s="37"/>
      <c r="F45" s="37"/>
      <c r="G45" s="37"/>
      <c r="H45" s="37"/>
      <c r="I45" s="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342"/>
      <c r="D46" s="38" t="s">
        <v>42</v>
      </c>
      <c r="E46" s="14"/>
      <c r="F46" s="14"/>
      <c r="G46" s="14"/>
      <c r="H46" s="14"/>
      <c r="I46" s="14"/>
      <c r="J46" s="38"/>
      <c r="K46" s="14"/>
      <c r="L46" s="14"/>
      <c r="M46" s="14"/>
      <c r="N46" s="14"/>
      <c r="O46" s="14"/>
      <c r="P46" s="14"/>
      <c r="Q46" s="14"/>
      <c r="R46" s="14"/>
      <c r="S46" s="14"/>
      <c r="T46" s="14"/>
      <c r="U46" s="14"/>
      <c r="V46" s="14"/>
      <c r="W46" s="14"/>
      <c r="X46" s="14"/>
      <c r="Y46" s="14"/>
      <c r="Z46" s="14"/>
      <c r="AA46" s="348">
        <f>$Z$15+$Z$23+$Z$34</f>
        <v>0</v>
      </c>
      <c r="AB46" s="348"/>
      <c r="AC46" s="348"/>
      <c r="AD46" s="302" t="s">
        <v>261</v>
      </c>
      <c r="AE46" s="303"/>
    </row>
    <row r="47" spans="2:42" s="2" customFormat="1" ht="21.95" customHeight="1" x14ac:dyDescent="0.15">
      <c r="B47" s="341"/>
      <c r="C47" s="342"/>
      <c r="D47" s="38" t="s">
        <v>43</v>
      </c>
      <c r="E47" s="14"/>
      <c r="F47" s="14"/>
      <c r="G47" s="14"/>
      <c r="H47" s="14"/>
      <c r="I47" s="14"/>
      <c r="J47" s="38"/>
      <c r="K47" s="14"/>
      <c r="L47" s="14"/>
      <c r="M47" s="14"/>
      <c r="N47" s="14"/>
      <c r="O47" s="14"/>
      <c r="P47" s="14"/>
      <c r="Q47" s="14"/>
      <c r="R47" s="14"/>
      <c r="S47" s="14"/>
      <c r="T47" s="14"/>
      <c r="U47" s="14"/>
      <c r="V47" s="14"/>
      <c r="W47" s="14"/>
      <c r="X47" s="14"/>
      <c r="Y47" s="14"/>
      <c r="Z47" s="14"/>
      <c r="AA47" s="348">
        <f>IF(共通条件・結果!AA7="８地域","-",$AB$15+$AB$23+$AB$34)</f>
        <v>0</v>
      </c>
      <c r="AB47" s="348"/>
      <c r="AC47" s="348"/>
      <c r="AD47" s="302" t="s">
        <v>261</v>
      </c>
      <c r="AE47" s="303"/>
    </row>
    <row r="48" spans="2:42" s="2" customFormat="1" ht="21.95" customHeight="1" thickBot="1" x14ac:dyDescent="0.2">
      <c r="B48" s="343"/>
      <c r="C48" s="344"/>
      <c r="D48" s="35" t="s">
        <v>12</v>
      </c>
      <c r="E48" s="15"/>
      <c r="F48" s="15"/>
      <c r="G48" s="15"/>
      <c r="H48" s="15"/>
      <c r="I48" s="15"/>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c r="AI48" s="22"/>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x3KfxFHhckZ63AkLNJdzGTH1lKVLKUfgQ65KvI+ry25TkVZLA8u4sZW1sAGTi7ULY7mw42I/Co1lL9B7xS57eA==" saltValue="IXoI6ew0ut7HKITZLG+FwA==" spinCount="100000" sheet="1" selectLockedCells="1"/>
  <mergeCells count="273">
    <mergeCell ref="AD46:AE46"/>
    <mergeCell ref="AD47:AE47"/>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AD9:AE9"/>
    <mergeCell ref="P9:Q9"/>
    <mergeCell ref="AI6:AJ6"/>
    <mergeCell ref="AM6:AN6"/>
    <mergeCell ref="AP6:AQ6"/>
    <mergeCell ref="AS6:AT6"/>
    <mergeCell ref="T7:U7"/>
    <mergeCell ref="V7:W7"/>
    <mergeCell ref="X7:Y7"/>
    <mergeCell ref="R9:S9"/>
    <mergeCell ref="T9:U9"/>
    <mergeCell ref="V9:W9"/>
    <mergeCell ref="X9:Y9"/>
    <mergeCell ref="Z9:AA9"/>
    <mergeCell ref="Z8:AA8"/>
    <mergeCell ref="AB8:AC8"/>
    <mergeCell ref="AD8:AE8"/>
    <mergeCell ref="R8:S8"/>
    <mergeCell ref="T8:U8"/>
    <mergeCell ref="V8:W8"/>
    <mergeCell ref="X8:Y8"/>
    <mergeCell ref="AB9:AC9"/>
    <mergeCell ref="B9:C9"/>
    <mergeCell ref="D9:E9"/>
    <mergeCell ref="F9:G9"/>
    <mergeCell ref="H9:I9"/>
    <mergeCell ref="J9:K9"/>
    <mergeCell ref="L9:M9"/>
    <mergeCell ref="N9:O9"/>
    <mergeCell ref="N8:O8"/>
    <mergeCell ref="P8:Q8"/>
    <mergeCell ref="B8:C8"/>
    <mergeCell ref="D8:E8"/>
    <mergeCell ref="F8:G8"/>
    <mergeCell ref="H8:I8"/>
    <mergeCell ref="J8:K8"/>
    <mergeCell ref="L8:M8"/>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N10:O10"/>
    <mergeCell ref="P10:Q10"/>
    <mergeCell ref="F10:G10"/>
    <mergeCell ref="H10:I10"/>
    <mergeCell ref="J10:K10"/>
    <mergeCell ref="L10:M10"/>
    <mergeCell ref="Z12:AA12"/>
    <mergeCell ref="AB12:AC12"/>
    <mergeCell ref="AD12:AE12"/>
    <mergeCell ref="F13:G13"/>
    <mergeCell ref="H13:I13"/>
    <mergeCell ref="J13:K13"/>
    <mergeCell ref="L13:M13"/>
    <mergeCell ref="N13:O13"/>
    <mergeCell ref="N12:O12"/>
    <mergeCell ref="P12:Q12"/>
    <mergeCell ref="R12:S12"/>
    <mergeCell ref="T12:U12"/>
    <mergeCell ref="V12:W12"/>
    <mergeCell ref="X12:Y12"/>
    <mergeCell ref="F12:G12"/>
    <mergeCell ref="H12:I12"/>
    <mergeCell ref="T11:U11"/>
    <mergeCell ref="V11:W11"/>
    <mergeCell ref="X11:Y11"/>
    <mergeCell ref="Z11:AA11"/>
    <mergeCell ref="J12:K12"/>
    <mergeCell ref="L12:M12"/>
    <mergeCell ref="B12:C12"/>
    <mergeCell ref="D12:E12"/>
    <mergeCell ref="AS16:AT16"/>
    <mergeCell ref="R14:S14"/>
    <mergeCell ref="T14:U14"/>
    <mergeCell ref="V14:W14"/>
    <mergeCell ref="X14:Y14"/>
    <mergeCell ref="Z14:AA14"/>
    <mergeCell ref="AB14:AC14"/>
    <mergeCell ref="B13:C13"/>
    <mergeCell ref="D13:E13"/>
    <mergeCell ref="AB13:AC13"/>
    <mergeCell ref="AD13:AE13"/>
    <mergeCell ref="R13:S13"/>
    <mergeCell ref="T13:U13"/>
    <mergeCell ref="V13:W13"/>
    <mergeCell ref="X13:Y13"/>
    <mergeCell ref="Z13:AA13"/>
    <mergeCell ref="P13:Q13"/>
    <mergeCell ref="AI19:AJ19"/>
    <mergeCell ref="AS19:AT19"/>
    <mergeCell ref="AD14:AE14"/>
    <mergeCell ref="B15:Y15"/>
    <mergeCell ref="B14:C14"/>
    <mergeCell ref="D14:E14"/>
    <mergeCell ref="F14:G14"/>
    <mergeCell ref="H14:I14"/>
    <mergeCell ref="J14:K14"/>
    <mergeCell ref="L14:M14"/>
    <mergeCell ref="N14:O14"/>
    <mergeCell ref="P14:Q14"/>
    <mergeCell ref="X18:AC18"/>
    <mergeCell ref="Z15:AA15"/>
    <mergeCell ref="AB15:AC15"/>
    <mergeCell ref="AD15:AE15"/>
    <mergeCell ref="Z22:AA22"/>
    <mergeCell ref="AB22:AC22"/>
    <mergeCell ref="AD22:AE22"/>
    <mergeCell ref="X21:Y21"/>
    <mergeCell ref="Z21:AA21"/>
    <mergeCell ref="AB21:AC21"/>
    <mergeCell ref="AD21:AE21"/>
    <mergeCell ref="X22:Y22"/>
    <mergeCell ref="AD18:AE20"/>
    <mergeCell ref="X19:Y20"/>
    <mergeCell ref="Z19:AA20"/>
    <mergeCell ref="AB19:AC20"/>
    <mergeCell ref="X26:AC26"/>
    <mergeCell ref="AD26:AE28"/>
    <mergeCell ref="X27:Y28"/>
    <mergeCell ref="Z27:AA28"/>
    <mergeCell ref="AB27:AC28"/>
    <mergeCell ref="AI27:AJ27"/>
    <mergeCell ref="L26:M28"/>
    <mergeCell ref="N26:O28"/>
    <mergeCell ref="P26:Q28"/>
    <mergeCell ref="R26:S28"/>
    <mergeCell ref="T26:U28"/>
    <mergeCell ref="V26:W28"/>
    <mergeCell ref="L30:M30"/>
    <mergeCell ref="N30:O30"/>
    <mergeCell ref="P30:Q30"/>
    <mergeCell ref="R30:S30"/>
    <mergeCell ref="T30:U30"/>
    <mergeCell ref="V30:W30"/>
    <mergeCell ref="L29:M29"/>
    <mergeCell ref="N29:O29"/>
    <mergeCell ref="P29:Q29"/>
    <mergeCell ref="R29:S29"/>
    <mergeCell ref="T29:U29"/>
    <mergeCell ref="V29:W29"/>
    <mergeCell ref="AB32:AC32"/>
    <mergeCell ref="AD32:AE32"/>
    <mergeCell ref="X29:Y29"/>
    <mergeCell ref="Z29:AA29"/>
    <mergeCell ref="AB29:AC29"/>
    <mergeCell ref="AD29:AE29"/>
    <mergeCell ref="X30:Y30"/>
    <mergeCell ref="Z30:AA30"/>
    <mergeCell ref="AB30:AC30"/>
    <mergeCell ref="AD30:AE30"/>
    <mergeCell ref="AA48:AC48"/>
    <mergeCell ref="B45:C48"/>
    <mergeCell ref="AC45:AD45"/>
    <mergeCell ref="AA46:AC46"/>
    <mergeCell ref="AA47:AC47"/>
    <mergeCell ref="L37:M39"/>
    <mergeCell ref="N37:S38"/>
    <mergeCell ref="T37:W39"/>
    <mergeCell ref="X37:AA39"/>
    <mergeCell ref="AB37:AE39"/>
    <mergeCell ref="N39:P39"/>
    <mergeCell ref="Q39:S39"/>
    <mergeCell ref="N40:P40"/>
    <mergeCell ref="Q40:S40"/>
    <mergeCell ref="X41:AA41"/>
    <mergeCell ref="AB41:AE41"/>
    <mergeCell ref="J45:L45"/>
    <mergeCell ref="O45:P45"/>
    <mergeCell ref="T40:W40"/>
    <mergeCell ref="X40:AA40"/>
    <mergeCell ref="AB42:AE42"/>
    <mergeCell ref="L42:AA42"/>
    <mergeCell ref="S45:T45"/>
    <mergeCell ref="W45:X45"/>
    <mergeCell ref="AB40:AE40"/>
    <mergeCell ref="N41:P41"/>
    <mergeCell ref="Q41:S41"/>
    <mergeCell ref="T41:W41"/>
    <mergeCell ref="L40:M40"/>
    <mergeCell ref="L41:M41"/>
    <mergeCell ref="L33:M33"/>
    <mergeCell ref="N33:O33"/>
    <mergeCell ref="P33:Q33"/>
    <mergeCell ref="R33:S33"/>
    <mergeCell ref="T33:U33"/>
    <mergeCell ref="V33:W33"/>
    <mergeCell ref="X33:Y33"/>
    <mergeCell ref="Z33:AA33"/>
    <mergeCell ref="AB33:AC33"/>
    <mergeCell ref="AD33:AE33"/>
    <mergeCell ref="L34:Y34"/>
    <mergeCell ref="Z23:AA23"/>
    <mergeCell ref="AB23:AC23"/>
    <mergeCell ref="AD23:AE23"/>
    <mergeCell ref="Z34:AA34"/>
    <mergeCell ref="AB34:AC34"/>
    <mergeCell ref="AD34:AE34"/>
    <mergeCell ref="AD31:AE31"/>
    <mergeCell ref="L32:M32"/>
    <mergeCell ref="N32:O32"/>
    <mergeCell ref="P32:Q32"/>
    <mergeCell ref="R32:S32"/>
    <mergeCell ref="T32:U32"/>
    <mergeCell ref="V32:W32"/>
    <mergeCell ref="L31:M31"/>
    <mergeCell ref="N31:O31"/>
    <mergeCell ref="P31:Q31"/>
    <mergeCell ref="R31:S31"/>
    <mergeCell ref="T31:U31"/>
    <mergeCell ref="V31:W31"/>
    <mergeCell ref="X31:Y31"/>
    <mergeCell ref="Z31:AA31"/>
    <mergeCell ref="AB31:AC31"/>
    <mergeCell ref="X32:Y32"/>
    <mergeCell ref="Z32:AA32"/>
    <mergeCell ref="L22:M22"/>
    <mergeCell ref="N22:O22"/>
    <mergeCell ref="P22:Q22"/>
    <mergeCell ref="R22:S22"/>
    <mergeCell ref="T22:U22"/>
    <mergeCell ref="V22:W22"/>
    <mergeCell ref="L23:Y23"/>
    <mergeCell ref="L18:M20"/>
    <mergeCell ref="N18:Q19"/>
    <mergeCell ref="R18:S20"/>
    <mergeCell ref="T18:U20"/>
    <mergeCell ref="V18:W20"/>
    <mergeCell ref="N20:O20"/>
    <mergeCell ref="P20:Q20"/>
    <mergeCell ref="L21:M21"/>
    <mergeCell ref="N21:O21"/>
    <mergeCell ref="P21:Q21"/>
    <mergeCell ref="R21:S21"/>
    <mergeCell ref="T21:U21"/>
    <mergeCell ref="V21:W21"/>
  </mergeCells>
  <phoneticPr fontId="4"/>
  <conditionalFormatting sqref="B8:Y14">
    <cfRule type="expression" dxfId="139" priority="183" stopIfTrue="1">
      <formula>$AH$3&lt;&gt;2</formula>
    </cfRule>
  </conditionalFormatting>
  <conditionalFormatting sqref="J45">
    <cfRule type="expression" dxfId="138" priority="1288" stopIfTrue="1">
      <formula>$J$45=0</formula>
    </cfRule>
  </conditionalFormatting>
  <conditionalFormatting sqref="J45:L45">
    <cfRule type="expression" dxfId="137" priority="359">
      <formula>$AH$3&lt;&gt;2</formula>
    </cfRule>
  </conditionalFormatting>
  <conditionalFormatting sqref="L29:Q33">
    <cfRule type="expression" dxfId="136" priority="101" stopIfTrue="1">
      <formula>$AH$3&lt;&gt;2</formula>
    </cfRule>
  </conditionalFormatting>
  <conditionalFormatting sqref="L21:Y22">
    <cfRule type="expression" dxfId="135" priority="155" stopIfTrue="1">
      <formula>$AH$3&lt;&gt;2</formula>
    </cfRule>
  </conditionalFormatting>
  <conditionalFormatting sqref="L40:AA41">
    <cfRule type="expression" dxfId="134" priority="63" stopIfTrue="1">
      <formula>$AH$3&lt;&gt;2</formula>
    </cfRule>
  </conditionalFormatting>
  <conditionalFormatting sqref="O45:P45">
    <cfRule type="expression" dxfId="133" priority="358">
      <formula>$AH$3&lt;&gt;2</formula>
    </cfRule>
    <cfRule type="expression" dxfId="132" priority="1289" stopIfTrue="1">
      <formula>$O$45=0</formula>
    </cfRule>
  </conditionalFormatting>
  <conditionalFormatting sqref="R29:S33">
    <cfRule type="expression" dxfId="131" priority="11">
      <formula>$AH$3&lt;&gt;2</formula>
    </cfRule>
  </conditionalFormatting>
  <conditionalFormatting sqref="S45:T45">
    <cfRule type="expression" dxfId="130" priority="357">
      <formula>$AH$3&lt;&gt;2</formula>
    </cfRule>
    <cfRule type="expression" dxfId="129" priority="1287" stopIfTrue="1">
      <formula>$S$45=0</formula>
    </cfRule>
  </conditionalFormatting>
  <conditionalFormatting sqref="T8:Y14">
    <cfRule type="expression" dxfId="128" priority="351">
      <formula>$AL8=TRUE</formula>
    </cfRule>
  </conditionalFormatting>
  <conditionalFormatting sqref="T29:Y33">
    <cfRule type="expression" dxfId="127" priority="95" stopIfTrue="1">
      <formula>$AH$3&lt;&gt;2</formula>
    </cfRule>
  </conditionalFormatting>
  <conditionalFormatting sqref="W45:X45">
    <cfRule type="expression" dxfId="126" priority="356">
      <formula>$AH$3&lt;&gt;2</formula>
    </cfRule>
  </conditionalFormatting>
  <conditionalFormatting sqref="Z4:AC4">
    <cfRule type="expression" dxfId="125" priority="61">
      <formula>$AH$3&lt;&gt;2</formula>
    </cfRule>
  </conditionalFormatting>
  <conditionalFormatting sqref="Z8:AE15">
    <cfRule type="expression" dxfId="124" priority="37">
      <formula>$AH$3&lt;&gt;2</formula>
    </cfRule>
  </conditionalFormatting>
  <conditionalFormatting sqref="Z21:AE23">
    <cfRule type="expression" dxfId="123" priority="28">
      <formula>$AH$3&lt;&gt;2</formula>
    </cfRule>
  </conditionalFormatting>
  <conditionalFormatting sqref="Z29:AE34">
    <cfRule type="expression" dxfId="122" priority="5">
      <formula>$AH$3&lt;&gt;2</formula>
    </cfRule>
  </conditionalFormatting>
  <conditionalFormatting sqref="AA46:AC48">
    <cfRule type="expression" dxfId="121" priority="1">
      <formula>$AH$3&lt;&gt;2</formula>
    </cfRule>
  </conditionalFormatting>
  <conditionalFormatting sqref="AB40:AE41">
    <cfRule type="expression" dxfId="120" priority="3">
      <formula>$AH$3&lt;&gt;2</formula>
    </cfRule>
  </conditionalFormatting>
  <conditionalFormatting sqref="AC45:AD45">
    <cfRule type="expression" dxfId="119" priority="355">
      <formula>$AH$3&lt;&gt;2</formula>
    </cfRule>
  </conditionalFormatting>
  <conditionalFormatting sqref="AE8:AE14">
    <cfRule type="expression" dxfId="118" priority="395">
      <formula>$AH$3&lt;&gt;2</formula>
    </cfRule>
  </conditionalFormatting>
  <conditionalFormatting sqref="AE40:AE42">
    <cfRule type="expression" dxfId="117" priority="360">
      <formula>$AH$3&lt;&gt;2</formula>
    </cfRule>
  </conditionalFormatting>
  <dataValidations count="3">
    <dataValidation type="list" showInputMessage="1" showErrorMessage="1" sqref="P8:Q14 X40:X41 V29:W33 V21:W22" xr:uid="{00000000-0002-0000-0400-000000000000}">
      <formula1>"1.0,0.7,0.05,0.15,0"</formula1>
    </dataValidation>
    <dataValidation type="list" allowBlank="1" showInputMessage="1" showErrorMessage="1" sqref="N8:N14 T21:T22" xr:uid="{00000000-0002-0000-0400-000001000000}">
      <formula1>"　,雨戸,ｼｬｯﾀｰ,障子,風除室"</formula1>
    </dataValidation>
    <dataValidation type="list" allowBlank="1" showInputMessage="1" showErrorMessage="1" sqref="T40:T41" xr:uid="{00000000-0002-0000-0400-000002000000}">
      <formula1>"4.55,17.0"</formula1>
    </dataValidation>
  </dataValidations>
  <pageMargins left="0.70866141732283472" right="0.70866141732283472" top="0.74803149606299213" bottom="0.74803149606299213" header="0.31496062992125984" footer="0.31496062992125984"/>
  <pageSetup paperSize="9" scale="74"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9505"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49506"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49507"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49508"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49509"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49510"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49511"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49512"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49513"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49514"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49515"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49516"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49517"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49518"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49519"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49520"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49521"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49522"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49523"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49524"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49525"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49541" r:id="rId25" name="Check Box 37">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49542" r:id="rId26" name="Check Box 38">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T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131</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0.480",IF(共通条件・結果!AA7="７地域",0.412,IF(共通条件・結果!AA7="６地域",0.434,IF(共通条件・結果!AA7="５地域",0.472,IF(共通条件・結果!AA7="４地域",0.437,IF(共通条件・結果!AA7="３地域",0.476,IF(共通条件・結果!AA7="２地域",0.507,IF(共通条件・結果!AA7="１地域",0.502))))))))</f>
        <v>0.47599999999999998</v>
      </c>
      <c r="AA4" s="429"/>
      <c r="AB4" s="430">
        <f>IF(共通条件・結果!AA7="８地域","-",IF(共通条件・結果!AA7="７地域",1.023,IF(共通条件・結果!AA7="６地域",0.936,IF(共通条件・結果!AA7="５地域",0.983,IF(共通条件・結果!AA7="４地域",0.815,IF(共通条件・結果!AA7="３地域",0.851,IF(共通条件・結果!AA7="２地域",0.856,IF(共通条件・結果!AA7="１地域",0.935))))))))</f>
        <v>0.85099999999999998</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89"/>
      <c r="E8" s="299"/>
      <c r="F8" s="291"/>
      <c r="G8" s="290"/>
      <c r="H8" s="289"/>
      <c r="I8" s="290"/>
      <c r="J8" s="293"/>
      <c r="K8" s="294"/>
      <c r="L8" s="289"/>
      <c r="M8" s="290"/>
      <c r="N8" s="245"/>
      <c r="O8" s="246"/>
      <c r="P8" s="409"/>
      <c r="Q8" s="410"/>
      <c r="R8" s="461"/>
      <c r="S8" s="462"/>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IF(共通条件・結果!$AA$7="８地域",0.01*(16+19*(2*V8+X8)/T8),0.01*(24+9*(3*V8+X8)/T8))</f>
        <v>#DIV/0!</v>
      </c>
      <c r="AQ8" s="2" t="e">
        <f t="shared" ref="AQ8:AQ14" si="5">0.01*(5+20*(3*V8+X8)/T8)</f>
        <v>#DIV/0!</v>
      </c>
      <c r="AS8" s="2">
        <f>IF(AT8="FALSE",H8,IF(N8="風除室",1/((1/H8)+0.1),0.5*H8+0.5*(1/((1/H8)+AT8))))</f>
        <v>0</v>
      </c>
      <c r="AT8" s="11" t="str">
        <f t="shared" ref="AT8:AT14" si="6">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409"/>
      <c r="Q9" s="410"/>
      <c r="R9" s="293"/>
      <c r="S9" s="460"/>
      <c r="T9" s="404"/>
      <c r="U9" s="405"/>
      <c r="V9" s="404"/>
      <c r="W9" s="406"/>
      <c r="X9" s="407"/>
      <c r="Y9" s="408"/>
      <c r="Z9" s="365" t="str">
        <f t="shared" si="0"/>
        <v/>
      </c>
      <c r="AA9" s="365"/>
      <c r="AB9" s="365" t="str">
        <f t="shared" si="1"/>
        <v/>
      </c>
      <c r="AC9" s="365"/>
      <c r="AD9" s="365" t="str">
        <f t="shared" si="2"/>
        <v/>
      </c>
      <c r="AE9" s="403"/>
      <c r="AH9" s="12" t="b">
        <v>1</v>
      </c>
      <c r="AI9" s="2">
        <f t="shared" si="3"/>
        <v>0</v>
      </c>
      <c r="AJ9" s="2">
        <f t="shared" si="4"/>
        <v>0</v>
      </c>
      <c r="AL9" s="12" t="b">
        <v>1</v>
      </c>
      <c r="AM9" s="2" t="str">
        <f t="shared" ref="AM9:AM14" si="7">IF(AL9=TRUE,"0.93",IF(ISERROR(AP9),"エラー",IF(AP9&gt;0.93,"0.93",AP9)))</f>
        <v>0.93</v>
      </c>
      <c r="AN9" s="2" t="str">
        <f t="shared" ref="AN9:AN14" si="8">IF(AL9=TRUE,"0.51",IF(ISERROR(AQ9),"エラー",IF(AQ9&gt;0.72,"0.72",AQ9)))</f>
        <v>0.51</v>
      </c>
      <c r="AP9" s="2" t="e">
        <f>IF(共通条件・結果!$AA$7="８地域",0.01*(16+19*(2*V9+X9)/T9),0.01*(24+9*(3*V9+X9)/T9))</f>
        <v>#DIV/0!</v>
      </c>
      <c r="AQ9" s="2" t="e">
        <f t="shared" si="5"/>
        <v>#DIV/0!</v>
      </c>
      <c r="AS9" s="2">
        <f t="shared" ref="AS9:AS14" si="9">IF(AT9="FALSE",H9,IF(N9="風除室",1/((1/H9)+0.1),0.5*H9+0.5*(1/((1/H9)+AT9))))</f>
        <v>0</v>
      </c>
      <c r="AT9" s="11" t="str">
        <f t="shared" si="6"/>
        <v>FALSE</v>
      </c>
    </row>
    <row r="10" spans="2:46" s="2" customFormat="1" ht="21.95" customHeight="1" x14ac:dyDescent="0.15">
      <c r="B10" s="295"/>
      <c r="C10" s="296"/>
      <c r="D10" s="289"/>
      <c r="E10" s="299"/>
      <c r="F10" s="291"/>
      <c r="G10" s="290"/>
      <c r="H10" s="289"/>
      <c r="I10" s="290"/>
      <c r="J10" s="293"/>
      <c r="K10" s="294"/>
      <c r="L10" s="289"/>
      <c r="M10" s="290"/>
      <c r="N10" s="245"/>
      <c r="O10" s="246"/>
      <c r="P10" s="409"/>
      <c r="Q10" s="410"/>
      <c r="R10" s="293"/>
      <c r="S10" s="460"/>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7"/>
        <v>0.93</v>
      </c>
      <c r="AN10" s="2" t="str">
        <f t="shared" si="8"/>
        <v>0.51</v>
      </c>
      <c r="AP10" s="2" t="e">
        <f>IF(共通条件・結果!$AA$7="８地域",0.01*(16+19*(2*V10+X10)/T10),0.01*(24+9*(3*V10+X10)/T10))</f>
        <v>#DIV/0!</v>
      </c>
      <c r="AQ10" s="2" t="e">
        <f t="shared" si="5"/>
        <v>#DIV/0!</v>
      </c>
      <c r="AS10" s="2">
        <f t="shared" si="9"/>
        <v>0</v>
      </c>
      <c r="AT10" s="11" t="str">
        <f t="shared" si="6"/>
        <v>FALSE</v>
      </c>
    </row>
    <row r="11" spans="2:46" s="2" customFormat="1" ht="21.95" customHeight="1" x14ac:dyDescent="0.15">
      <c r="B11" s="295"/>
      <c r="C11" s="296"/>
      <c r="D11" s="289"/>
      <c r="E11" s="299"/>
      <c r="F11" s="291"/>
      <c r="G11" s="290"/>
      <c r="H11" s="289"/>
      <c r="I11" s="290"/>
      <c r="J11" s="293"/>
      <c r="K11" s="294"/>
      <c r="L11" s="289"/>
      <c r="M11" s="290"/>
      <c r="N11" s="245"/>
      <c r="O11" s="246"/>
      <c r="P11" s="409"/>
      <c r="Q11" s="410"/>
      <c r="R11" s="293"/>
      <c r="S11" s="460"/>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7"/>
        <v>0.93</v>
      </c>
      <c r="AN11" s="2" t="str">
        <f t="shared" si="8"/>
        <v>0.51</v>
      </c>
      <c r="AP11" s="2" t="e">
        <f>IF(共通条件・結果!$AA$7="８地域",0.01*(16+19*(2*V11+X11)/T11),0.01*(24+9*(3*V11+X11)/T11))</f>
        <v>#DIV/0!</v>
      </c>
      <c r="AQ11" s="2" t="e">
        <f t="shared" si="5"/>
        <v>#DIV/0!</v>
      </c>
      <c r="AS11" s="2">
        <f t="shared" si="9"/>
        <v>0</v>
      </c>
      <c r="AT11" s="11" t="str">
        <f t="shared" si="6"/>
        <v>FALSE</v>
      </c>
    </row>
    <row r="12" spans="2:46" s="2" customFormat="1" ht="21.95" customHeight="1" x14ac:dyDescent="0.15">
      <c r="B12" s="295"/>
      <c r="C12" s="296"/>
      <c r="D12" s="289"/>
      <c r="E12" s="299"/>
      <c r="F12" s="291"/>
      <c r="G12" s="290"/>
      <c r="H12" s="289"/>
      <c r="I12" s="290"/>
      <c r="J12" s="293"/>
      <c r="K12" s="294"/>
      <c r="L12" s="289"/>
      <c r="M12" s="290"/>
      <c r="N12" s="245"/>
      <c r="O12" s="246"/>
      <c r="P12" s="409"/>
      <c r="Q12" s="410"/>
      <c r="R12" s="293"/>
      <c r="S12" s="460"/>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7"/>
        <v>0.93</v>
      </c>
      <c r="AN12" s="2" t="str">
        <f t="shared" si="8"/>
        <v>0.51</v>
      </c>
      <c r="AP12" s="2" t="e">
        <f>IF(共通条件・結果!$AA$7="８地域",0.01*(16+19*(2*V12+X12)/T12),0.01*(24+9*(3*V12+X12)/T12))</f>
        <v>#DIV/0!</v>
      </c>
      <c r="AQ12" s="2" t="e">
        <f t="shared" si="5"/>
        <v>#DIV/0!</v>
      </c>
      <c r="AS12" s="2">
        <f t="shared" si="9"/>
        <v>0</v>
      </c>
      <c r="AT12" s="11" t="str">
        <f t="shared" si="6"/>
        <v>FALSE</v>
      </c>
    </row>
    <row r="13" spans="2:46" s="2" customFormat="1" ht="21.95" customHeight="1" x14ac:dyDescent="0.15">
      <c r="B13" s="295"/>
      <c r="C13" s="296"/>
      <c r="D13" s="289"/>
      <c r="E13" s="299"/>
      <c r="F13" s="291"/>
      <c r="G13" s="290"/>
      <c r="H13" s="289"/>
      <c r="I13" s="290"/>
      <c r="J13" s="293"/>
      <c r="K13" s="294"/>
      <c r="L13" s="289"/>
      <c r="M13" s="290"/>
      <c r="N13" s="245"/>
      <c r="O13" s="246"/>
      <c r="P13" s="409"/>
      <c r="Q13" s="410"/>
      <c r="R13" s="293"/>
      <c r="S13" s="460"/>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7"/>
        <v>0.93</v>
      </c>
      <c r="AN13" s="2" t="str">
        <f t="shared" si="8"/>
        <v>0.51</v>
      </c>
      <c r="AP13" s="2" t="e">
        <f>IF(共通条件・結果!$AA$7="８地域",0.01*(16+19*(2*V13+X13)/T13),0.01*(24+9*(3*V13+X13)/T13))</f>
        <v>#DIV/0!</v>
      </c>
      <c r="AQ13" s="2" t="e">
        <f t="shared" si="5"/>
        <v>#DIV/0!</v>
      </c>
      <c r="AS13" s="2">
        <f t="shared" si="9"/>
        <v>0</v>
      </c>
      <c r="AT13" s="11" t="str">
        <f t="shared" si="6"/>
        <v>FALSE</v>
      </c>
    </row>
    <row r="14" spans="2:46" s="2" customFormat="1" ht="21.95" customHeight="1" thickBot="1" x14ac:dyDescent="0.2">
      <c r="B14" s="325"/>
      <c r="C14" s="326"/>
      <c r="D14" s="242"/>
      <c r="E14" s="243"/>
      <c r="F14" s="478"/>
      <c r="G14" s="241"/>
      <c r="H14" s="242"/>
      <c r="I14" s="241"/>
      <c r="J14" s="479"/>
      <c r="K14" s="480"/>
      <c r="L14" s="481"/>
      <c r="M14" s="482"/>
      <c r="N14" s="391"/>
      <c r="O14" s="392"/>
      <c r="P14" s="483"/>
      <c r="Q14" s="484"/>
      <c r="R14" s="479"/>
      <c r="S14" s="485"/>
      <c r="T14" s="394"/>
      <c r="U14" s="395"/>
      <c r="V14" s="394"/>
      <c r="W14" s="396"/>
      <c r="X14" s="397"/>
      <c r="Y14" s="398"/>
      <c r="Z14" s="318" t="str">
        <f t="shared" si="0"/>
        <v/>
      </c>
      <c r="AA14" s="381"/>
      <c r="AB14" s="476" t="str">
        <f t="shared" si="1"/>
        <v/>
      </c>
      <c r="AC14" s="476"/>
      <c r="AD14" s="476" t="str">
        <f t="shared" si="2"/>
        <v/>
      </c>
      <c r="AE14" s="477"/>
      <c r="AH14" s="12" t="b">
        <v>1</v>
      </c>
      <c r="AI14" s="2">
        <f t="shared" si="3"/>
        <v>0</v>
      </c>
      <c r="AJ14" s="2">
        <f t="shared" si="4"/>
        <v>0</v>
      </c>
      <c r="AL14" s="12" t="b">
        <v>1</v>
      </c>
      <c r="AM14" s="2" t="str">
        <f t="shared" si="7"/>
        <v>0.93</v>
      </c>
      <c r="AN14" s="2" t="str">
        <f t="shared" si="8"/>
        <v>0.51</v>
      </c>
      <c r="AP14" s="2" t="e">
        <f>IF(共通条件・結果!$AA$7="８地域",0.01*(16+19*(2*V14+X14)/T14),0.01*(24+9*(3*V14+X14)/T14))</f>
        <v>#DIV/0!</v>
      </c>
      <c r="AQ14" s="2" t="e">
        <f t="shared" si="5"/>
        <v>#DIV/0!</v>
      </c>
      <c r="AS14" s="2">
        <f t="shared" si="9"/>
        <v>0</v>
      </c>
      <c r="AT14" s="11" t="str">
        <f t="shared" si="6"/>
        <v>FALSE</v>
      </c>
    </row>
    <row r="15" spans="2:46" s="2" customFormat="1" ht="21.95" customHeight="1" thickBot="1" x14ac:dyDescent="0.2">
      <c r="B15" s="386" t="s">
        <v>132</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486">
        <f>SUM(Z8:AA14)</f>
        <v>0</v>
      </c>
      <c r="AA15" s="487"/>
      <c r="AB15" s="486">
        <f>IF(共通条件・結果!AA7="８地域","-",SUM(AB8:AC14))</f>
        <v>0</v>
      </c>
      <c r="AC15" s="487"/>
      <c r="AD15" s="486">
        <f>SUM(AD8:AE14)</f>
        <v>0</v>
      </c>
      <c r="AE15" s="488"/>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112</v>
      </c>
      <c r="M23" s="248"/>
      <c r="N23" s="248"/>
      <c r="O23" s="248"/>
      <c r="P23" s="248"/>
      <c r="Q23" s="248"/>
      <c r="R23" s="248"/>
      <c r="S23" s="248"/>
      <c r="T23" s="248"/>
      <c r="U23" s="248"/>
      <c r="V23" s="248"/>
      <c r="W23" s="248"/>
      <c r="X23" s="248"/>
      <c r="Y23" s="249"/>
      <c r="Z23" s="327">
        <f>SUM(Z21:AA22)</f>
        <v>0</v>
      </c>
      <c r="AA23" s="330"/>
      <c r="AB23" s="327">
        <f>SUM(AB21:AC22)</f>
        <v>0</v>
      </c>
      <c r="AC23" s="330"/>
      <c r="AD23" s="327">
        <f>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470" t="str">
        <f>IF(N29="","",N29-P29)</f>
        <v/>
      </c>
      <c r="S29" s="471"/>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466" t="str">
        <f>IF(N30="","",N30-P30)</f>
        <v/>
      </c>
      <c r="S30" s="467"/>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466" t="str">
        <f>IF(N31="","",N31-P31)</f>
        <v/>
      </c>
      <c r="S31" s="467"/>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466" t="str">
        <f>IF(N32="","",N32-P32)</f>
        <v/>
      </c>
      <c r="S32" s="467"/>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468" t="str">
        <f>IF(N33="","",N33-P33)</f>
        <v/>
      </c>
      <c r="S33" s="469"/>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133</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SUM(AD29:AE33)</f>
        <v>0</v>
      </c>
      <c r="AE34" s="332"/>
      <c r="AH34" s="12"/>
      <c r="AO34" s="12"/>
      <c r="AP34" s="12"/>
    </row>
    <row r="35" spans="2:42"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2" s="2" customFormat="1" ht="21.75" customHeight="1" thickBot="1" x14ac:dyDescent="0.2">
      <c r="L36" s="4" t="s">
        <v>233</v>
      </c>
      <c r="U36" s="4"/>
      <c r="V36" s="4"/>
      <c r="X36" s="4"/>
    </row>
    <row r="37" spans="2:42"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row>
    <row r="38" spans="2:42"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row>
    <row r="39" spans="2:42"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row>
    <row r="40" spans="2:42"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row>
    <row r="41" spans="2:42"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row>
    <row r="42" spans="2:42" s="2" customFormat="1" ht="21.75" customHeight="1" thickBot="1" x14ac:dyDescent="0.2">
      <c r="L42" s="247" t="s">
        <v>249</v>
      </c>
      <c r="M42" s="248"/>
      <c r="N42" s="248"/>
      <c r="O42" s="248"/>
      <c r="P42" s="248"/>
      <c r="Q42" s="248"/>
      <c r="R42" s="248"/>
      <c r="S42" s="248"/>
      <c r="T42" s="248"/>
      <c r="U42" s="248"/>
      <c r="V42" s="248"/>
      <c r="W42" s="248"/>
      <c r="X42" s="248"/>
      <c r="Y42" s="248"/>
      <c r="Z42" s="248"/>
      <c r="AA42" s="249"/>
      <c r="AB42" s="327">
        <f>SUM(AB40:AB41)</f>
        <v>0</v>
      </c>
      <c r="AC42" s="328"/>
      <c r="AD42" s="328"/>
      <c r="AE42" s="329"/>
    </row>
    <row r="43" spans="2:42"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2" s="2" customFormat="1" ht="21.95" customHeight="1" thickBot="1" x14ac:dyDescent="0.2">
      <c r="B44" s="4" t="s">
        <v>242</v>
      </c>
      <c r="F44" s="4"/>
    </row>
    <row r="45" spans="2:42" s="2" customFormat="1" ht="21.95" customHeight="1" x14ac:dyDescent="0.15">
      <c r="B45" s="339" t="s">
        <v>134</v>
      </c>
      <c r="C45" s="340"/>
      <c r="D45" s="36" t="s">
        <v>31</v>
      </c>
      <c r="E45" s="37"/>
      <c r="F45" s="37"/>
      <c r="G45" s="37"/>
      <c r="H45" s="37"/>
      <c r="I45" s="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342"/>
      <c r="D46" s="38" t="s">
        <v>42</v>
      </c>
      <c r="E46" s="14"/>
      <c r="F46" s="14"/>
      <c r="G46" s="14"/>
      <c r="H46" s="14"/>
      <c r="I46" s="14"/>
      <c r="J46" s="38"/>
      <c r="K46" s="14"/>
      <c r="L46" s="14"/>
      <c r="M46" s="14"/>
      <c r="N46" s="14"/>
      <c r="O46" s="14"/>
      <c r="P46" s="14"/>
      <c r="Q46" s="14"/>
      <c r="R46" s="14"/>
      <c r="S46" s="14"/>
      <c r="T46" s="14"/>
      <c r="U46" s="14"/>
      <c r="V46" s="14"/>
      <c r="W46" s="14"/>
      <c r="X46" s="14"/>
      <c r="Y46" s="14"/>
      <c r="Z46" s="14"/>
      <c r="AA46" s="348">
        <f>$Z$15+$Z$23+$Z$34</f>
        <v>0</v>
      </c>
      <c r="AB46" s="348"/>
      <c r="AC46" s="348"/>
      <c r="AD46" s="302" t="s">
        <v>261</v>
      </c>
      <c r="AE46" s="303"/>
    </row>
    <row r="47" spans="2:42" s="2" customFormat="1" ht="21.95" customHeight="1" x14ac:dyDescent="0.15">
      <c r="B47" s="341"/>
      <c r="C47" s="342"/>
      <c r="D47" s="38" t="s">
        <v>43</v>
      </c>
      <c r="E47" s="14"/>
      <c r="F47" s="14"/>
      <c r="G47" s="14"/>
      <c r="H47" s="14"/>
      <c r="I47" s="14"/>
      <c r="J47" s="38"/>
      <c r="K47" s="14"/>
      <c r="L47" s="14"/>
      <c r="M47" s="14"/>
      <c r="N47" s="14"/>
      <c r="O47" s="14"/>
      <c r="P47" s="14"/>
      <c r="Q47" s="14"/>
      <c r="R47" s="14"/>
      <c r="S47" s="14"/>
      <c r="T47" s="14"/>
      <c r="U47" s="14"/>
      <c r="V47" s="14"/>
      <c r="W47" s="14"/>
      <c r="X47" s="14"/>
      <c r="Y47" s="14"/>
      <c r="Z47" s="14"/>
      <c r="AA47" s="348">
        <f>IF(共通条件・結果!AA7="８地域","-",$AB$15+$AB$23+$AB$34)</f>
        <v>0</v>
      </c>
      <c r="AB47" s="348"/>
      <c r="AC47" s="348"/>
      <c r="AD47" s="302" t="s">
        <v>261</v>
      </c>
      <c r="AE47" s="303"/>
    </row>
    <row r="48" spans="2:42" s="2" customFormat="1" ht="21.95" customHeight="1" thickBot="1" x14ac:dyDescent="0.2">
      <c r="B48" s="343"/>
      <c r="C48" s="344"/>
      <c r="D48" s="35" t="s">
        <v>12</v>
      </c>
      <c r="E48" s="15"/>
      <c r="F48" s="15"/>
      <c r="G48" s="15"/>
      <c r="H48" s="15"/>
      <c r="I48" s="15"/>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c r="AI48" s="22"/>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lgETRfpSjxoCYWbkhUWCjB9dLSQBdYvu/m8l/1dBc19flyiUcU7CvR4r6MKxSmoCJj7kwMPjv0wXcMXNhHFR1w==" saltValue="p+RJ/1p9GIK5tIf5T2g7YQ==" spinCount="100000" sheet="1" selectLockedCells="1"/>
  <mergeCells count="273">
    <mergeCell ref="AD46:AE46"/>
    <mergeCell ref="AD47:AE47"/>
    <mergeCell ref="L8:M8"/>
    <mergeCell ref="AB9:AC9"/>
    <mergeCell ref="AB42:AE42"/>
    <mergeCell ref="L42:AA42"/>
    <mergeCell ref="Z15:AA15"/>
    <mergeCell ref="AB15:AC15"/>
    <mergeCell ref="AD15:AE15"/>
    <mergeCell ref="B15:Y15"/>
    <mergeCell ref="Z23:AA23"/>
    <mergeCell ref="AB23:AC23"/>
    <mergeCell ref="AD23:AE23"/>
    <mergeCell ref="Z34:AA34"/>
    <mergeCell ref="AB34:AC34"/>
    <mergeCell ref="AD34:AE34"/>
    <mergeCell ref="L34:Y34"/>
    <mergeCell ref="X22:Y22"/>
    <mergeCell ref="Z22:AA22"/>
    <mergeCell ref="AB22:AC22"/>
    <mergeCell ref="AD22:AE22"/>
    <mergeCell ref="X21:Y21"/>
    <mergeCell ref="Z21:AA21"/>
    <mergeCell ref="AB21:AC21"/>
    <mergeCell ref="AD21:AE21"/>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AD9:AE9"/>
    <mergeCell ref="N10:O10"/>
    <mergeCell ref="P10:Q10"/>
    <mergeCell ref="AI6:AJ6"/>
    <mergeCell ref="AM6:AN6"/>
    <mergeCell ref="AP6:AQ6"/>
    <mergeCell ref="AS6:AT6"/>
    <mergeCell ref="T7:U7"/>
    <mergeCell ref="V7:W7"/>
    <mergeCell ref="X7:Y7"/>
    <mergeCell ref="R9:S9"/>
    <mergeCell ref="T9:U9"/>
    <mergeCell ref="V9:W9"/>
    <mergeCell ref="X9:Y9"/>
    <mergeCell ref="Z9:AA9"/>
    <mergeCell ref="Z8:AA8"/>
    <mergeCell ref="AB8:AC8"/>
    <mergeCell ref="AD8:AE8"/>
    <mergeCell ref="R8:S8"/>
    <mergeCell ref="T8:U8"/>
    <mergeCell ref="V8:W8"/>
    <mergeCell ref="X8:Y8"/>
    <mergeCell ref="B8:C8"/>
    <mergeCell ref="D8:E8"/>
    <mergeCell ref="F8:G8"/>
    <mergeCell ref="H8:I8"/>
    <mergeCell ref="J8:K8"/>
    <mergeCell ref="N8:O8"/>
    <mergeCell ref="P8:Q8"/>
    <mergeCell ref="F10:G10"/>
    <mergeCell ref="T11:U11"/>
    <mergeCell ref="V11:W11"/>
    <mergeCell ref="X11:Y11"/>
    <mergeCell ref="B9:C9"/>
    <mergeCell ref="D9:E9"/>
    <mergeCell ref="F9:G9"/>
    <mergeCell ref="H9:I9"/>
    <mergeCell ref="J9:K9"/>
    <mergeCell ref="L9:M9"/>
    <mergeCell ref="N9:O9"/>
    <mergeCell ref="P9:Q9"/>
    <mergeCell ref="Z11:AA11"/>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H10:I10"/>
    <mergeCell ref="J10:K10"/>
    <mergeCell ref="L10:M10"/>
    <mergeCell ref="Z12:AA12"/>
    <mergeCell ref="AB12:AC12"/>
    <mergeCell ref="AD12:AE12"/>
    <mergeCell ref="B13:C13"/>
    <mergeCell ref="D13:E13"/>
    <mergeCell ref="F13:G13"/>
    <mergeCell ref="H13:I13"/>
    <mergeCell ref="J13:K13"/>
    <mergeCell ref="L13:M13"/>
    <mergeCell ref="N13:O13"/>
    <mergeCell ref="N12:O12"/>
    <mergeCell ref="P12:Q12"/>
    <mergeCell ref="R12:S12"/>
    <mergeCell ref="T12:U12"/>
    <mergeCell ref="V12:W12"/>
    <mergeCell ref="X12:Y12"/>
    <mergeCell ref="B12:C12"/>
    <mergeCell ref="D12:E12"/>
    <mergeCell ref="F12:G12"/>
    <mergeCell ref="H12:I12"/>
    <mergeCell ref="J12:K12"/>
    <mergeCell ref="L12:M12"/>
    <mergeCell ref="AB13:AC13"/>
    <mergeCell ref="AD13:AE13"/>
    <mergeCell ref="R13:S13"/>
    <mergeCell ref="T13:U13"/>
    <mergeCell ref="V13:W13"/>
    <mergeCell ref="X13:Y13"/>
    <mergeCell ref="Z13:AA13"/>
    <mergeCell ref="P13:Q13"/>
    <mergeCell ref="AD18:AE20"/>
    <mergeCell ref="X19:Y20"/>
    <mergeCell ref="Z19:AA20"/>
    <mergeCell ref="AB19:AC20"/>
    <mergeCell ref="N18:Q19"/>
    <mergeCell ref="N20:O20"/>
    <mergeCell ref="P20:Q20"/>
    <mergeCell ref="AI19:AJ19"/>
    <mergeCell ref="AS19:AT19"/>
    <mergeCell ref="AD14:AE14"/>
    <mergeCell ref="X18:AC18"/>
    <mergeCell ref="R18:S20"/>
    <mergeCell ref="T18:U20"/>
    <mergeCell ref="V18:W20"/>
    <mergeCell ref="B14:C14"/>
    <mergeCell ref="D14:E14"/>
    <mergeCell ref="F14:G14"/>
    <mergeCell ref="H14:I14"/>
    <mergeCell ref="J14:K14"/>
    <mergeCell ref="L14:M14"/>
    <mergeCell ref="N14:O14"/>
    <mergeCell ref="P14:Q14"/>
    <mergeCell ref="AS16:AT16"/>
    <mergeCell ref="R14:S14"/>
    <mergeCell ref="T14:U14"/>
    <mergeCell ref="V14:W14"/>
    <mergeCell ref="X14:Y14"/>
    <mergeCell ref="Z14:AA14"/>
    <mergeCell ref="AB14:AC14"/>
    <mergeCell ref="L18:M20"/>
    <mergeCell ref="X26:AC26"/>
    <mergeCell ref="AD26:AE28"/>
    <mergeCell ref="X27:Y28"/>
    <mergeCell ref="Z27:AA28"/>
    <mergeCell ref="AB27:AC28"/>
    <mergeCell ref="AI27:AJ27"/>
    <mergeCell ref="L26:M28"/>
    <mergeCell ref="N26:O28"/>
    <mergeCell ref="P26:Q28"/>
    <mergeCell ref="R26:S28"/>
    <mergeCell ref="T26:U28"/>
    <mergeCell ref="V26:W28"/>
    <mergeCell ref="X29:Y29"/>
    <mergeCell ref="Z29:AA29"/>
    <mergeCell ref="AB29:AC29"/>
    <mergeCell ref="AD29:AE29"/>
    <mergeCell ref="L30:M30"/>
    <mergeCell ref="N30:O30"/>
    <mergeCell ref="P30:Q30"/>
    <mergeCell ref="R30:S30"/>
    <mergeCell ref="T30:U30"/>
    <mergeCell ref="V30:W30"/>
    <mergeCell ref="L29:M29"/>
    <mergeCell ref="N29:O29"/>
    <mergeCell ref="P29:Q29"/>
    <mergeCell ref="R29:S29"/>
    <mergeCell ref="T29:U29"/>
    <mergeCell ref="V29:W29"/>
    <mergeCell ref="X30:Y30"/>
    <mergeCell ref="Z30:AA30"/>
    <mergeCell ref="AB30:AC30"/>
    <mergeCell ref="AD30:AE30"/>
    <mergeCell ref="AD31:AE31"/>
    <mergeCell ref="L32:M32"/>
    <mergeCell ref="N32:O32"/>
    <mergeCell ref="P32:Q32"/>
    <mergeCell ref="R32:S32"/>
    <mergeCell ref="T32:U32"/>
    <mergeCell ref="V32:W32"/>
    <mergeCell ref="X33:Y33"/>
    <mergeCell ref="Z33:AA33"/>
    <mergeCell ref="AB33:AC33"/>
    <mergeCell ref="AD33:AE33"/>
    <mergeCell ref="L31:M31"/>
    <mergeCell ref="N31:O31"/>
    <mergeCell ref="P31:Q31"/>
    <mergeCell ref="R31:S31"/>
    <mergeCell ref="T31:U31"/>
    <mergeCell ref="V31:W31"/>
    <mergeCell ref="X31:Y31"/>
    <mergeCell ref="Z31:AA31"/>
    <mergeCell ref="AB31:AC31"/>
    <mergeCell ref="X32:Y32"/>
    <mergeCell ref="Z32:AA32"/>
    <mergeCell ref="AB32:AC32"/>
    <mergeCell ref="AD32:AE32"/>
    <mergeCell ref="B45:C48"/>
    <mergeCell ref="AC45:AD45"/>
    <mergeCell ref="AA46:AC46"/>
    <mergeCell ref="AA47:AC47"/>
    <mergeCell ref="L37:M39"/>
    <mergeCell ref="N37:S38"/>
    <mergeCell ref="T37:W39"/>
    <mergeCell ref="X37:AA39"/>
    <mergeCell ref="AB37:AE39"/>
    <mergeCell ref="N39:P39"/>
    <mergeCell ref="Q39:S39"/>
    <mergeCell ref="N40:P40"/>
    <mergeCell ref="Q40:S40"/>
    <mergeCell ref="X41:AA41"/>
    <mergeCell ref="AB41:AE41"/>
    <mergeCell ref="J45:L45"/>
    <mergeCell ref="O45:P45"/>
    <mergeCell ref="T40:W40"/>
    <mergeCell ref="X40:AA40"/>
    <mergeCell ref="AB40:AE40"/>
    <mergeCell ref="N41:P41"/>
    <mergeCell ref="Q41:S41"/>
    <mergeCell ref="T41:W41"/>
    <mergeCell ref="S45:T45"/>
    <mergeCell ref="L40:M40"/>
    <mergeCell ref="L41:M41"/>
    <mergeCell ref="L33:M33"/>
    <mergeCell ref="N33:O33"/>
    <mergeCell ref="P33:Q33"/>
    <mergeCell ref="R33:S33"/>
    <mergeCell ref="T33:U33"/>
    <mergeCell ref="V33:W33"/>
    <mergeCell ref="AA48:AC48"/>
    <mergeCell ref="W45:X45"/>
    <mergeCell ref="L23:Y23"/>
    <mergeCell ref="N21:O21"/>
    <mergeCell ref="P21:Q21"/>
    <mergeCell ref="R21:S21"/>
    <mergeCell ref="T21:U21"/>
    <mergeCell ref="V21:W21"/>
    <mergeCell ref="L22:M22"/>
    <mergeCell ref="N22:O22"/>
    <mergeCell ref="P22:Q22"/>
    <mergeCell ref="R22:S22"/>
    <mergeCell ref="T22:U22"/>
    <mergeCell ref="V22:W22"/>
    <mergeCell ref="L21:M21"/>
  </mergeCells>
  <phoneticPr fontId="4"/>
  <conditionalFormatting sqref="B8:Y14">
    <cfRule type="expression" dxfId="116" priority="183" stopIfTrue="1">
      <formula>$AH$3&lt;&gt;2</formula>
    </cfRule>
  </conditionalFormatting>
  <conditionalFormatting sqref="J45">
    <cfRule type="expression" dxfId="115" priority="1288" stopIfTrue="1">
      <formula>$J$45=0</formula>
    </cfRule>
  </conditionalFormatting>
  <conditionalFormatting sqref="J45:L45">
    <cfRule type="expression" dxfId="114" priority="359">
      <formula>$AH$3&lt;&gt;2</formula>
    </cfRule>
  </conditionalFormatting>
  <conditionalFormatting sqref="L29:Q33">
    <cfRule type="expression" dxfId="113" priority="101" stopIfTrue="1">
      <formula>$AH$3&lt;&gt;2</formula>
    </cfRule>
  </conditionalFormatting>
  <conditionalFormatting sqref="L21:Y22">
    <cfRule type="expression" dxfId="112" priority="155" stopIfTrue="1">
      <formula>$AH$3&lt;&gt;2</formula>
    </cfRule>
  </conditionalFormatting>
  <conditionalFormatting sqref="L40:AA41">
    <cfRule type="expression" dxfId="111" priority="63" stopIfTrue="1">
      <formula>$AH$3&lt;&gt;2</formula>
    </cfRule>
  </conditionalFormatting>
  <conditionalFormatting sqref="O45:P45">
    <cfRule type="expression" dxfId="110" priority="358">
      <formula>$AH$3&lt;&gt;2</formula>
    </cfRule>
    <cfRule type="expression" dxfId="109" priority="1289" stopIfTrue="1">
      <formula>$O$45=0</formula>
    </cfRule>
  </conditionalFormatting>
  <conditionalFormatting sqref="R29:S33">
    <cfRule type="expression" dxfId="108" priority="11">
      <formula>$AH$3&lt;&gt;2</formula>
    </cfRule>
  </conditionalFormatting>
  <conditionalFormatting sqref="S45:T45">
    <cfRule type="expression" dxfId="107" priority="357">
      <formula>$AH$3&lt;&gt;2</formula>
    </cfRule>
    <cfRule type="expression" dxfId="106" priority="1287" stopIfTrue="1">
      <formula>$S$45=0</formula>
    </cfRule>
  </conditionalFormatting>
  <conditionalFormatting sqref="T8:Y14">
    <cfRule type="expression" dxfId="105" priority="351">
      <formula>$AL8=TRUE</formula>
    </cfRule>
  </conditionalFormatting>
  <conditionalFormatting sqref="T29:Y33">
    <cfRule type="expression" dxfId="104" priority="95" stopIfTrue="1">
      <formula>$AH$3&lt;&gt;2</formula>
    </cfRule>
  </conditionalFormatting>
  <conditionalFormatting sqref="W45:X45">
    <cfRule type="expression" dxfId="103" priority="356">
      <formula>$AH$3&lt;&gt;2</formula>
    </cfRule>
  </conditionalFormatting>
  <conditionalFormatting sqref="Z4:AC4">
    <cfRule type="expression" dxfId="102" priority="61">
      <formula>$AH$3&lt;&gt;2</formula>
    </cfRule>
  </conditionalFormatting>
  <conditionalFormatting sqref="Z8:AE15">
    <cfRule type="expression" dxfId="101" priority="37">
      <formula>$AH$3&lt;&gt;2</formula>
    </cfRule>
  </conditionalFormatting>
  <conditionalFormatting sqref="Z21:AE23">
    <cfRule type="expression" dxfId="100" priority="28">
      <formula>$AH$3&lt;&gt;2</formula>
    </cfRule>
  </conditionalFormatting>
  <conditionalFormatting sqref="Z29:AE34">
    <cfRule type="expression" dxfId="99" priority="5">
      <formula>$AH$3&lt;&gt;2</formula>
    </cfRule>
  </conditionalFormatting>
  <conditionalFormatting sqref="AA46:AC48">
    <cfRule type="expression" dxfId="98" priority="1">
      <formula>$AH$3&lt;&gt;2</formula>
    </cfRule>
  </conditionalFormatting>
  <conditionalFormatting sqref="AB40:AE41">
    <cfRule type="expression" dxfId="97" priority="3">
      <formula>$AH$3&lt;&gt;2</formula>
    </cfRule>
  </conditionalFormatting>
  <conditionalFormatting sqref="AC45:AD45">
    <cfRule type="expression" dxfId="96" priority="355">
      <formula>$AH$3&lt;&gt;2</formula>
    </cfRule>
  </conditionalFormatting>
  <conditionalFormatting sqref="AE8:AE14">
    <cfRule type="expression" dxfId="95" priority="395">
      <formula>$AH$3&lt;&gt;2</formula>
    </cfRule>
  </conditionalFormatting>
  <conditionalFormatting sqref="AE40:AE42">
    <cfRule type="expression" dxfId="94" priority="360">
      <formula>$AH$3&lt;&gt;2</formula>
    </cfRule>
  </conditionalFormatting>
  <dataValidations count="3">
    <dataValidation type="list" showInputMessage="1" showErrorMessage="1" sqref="V29:W33 X40:X41 V21:W22 P8:Q14" xr:uid="{00000000-0002-0000-0500-000000000000}">
      <formula1>"1.0,0.7,0.05,0.15,0"</formula1>
    </dataValidation>
    <dataValidation type="list" allowBlank="1" showInputMessage="1" showErrorMessage="1" sqref="N8:N14 T21:T22" xr:uid="{00000000-0002-0000-0500-000001000000}">
      <formula1>"　,雨戸,ｼｬｯﾀｰ,障子,風除室"</formula1>
    </dataValidation>
    <dataValidation type="list" allowBlank="1" showInputMessage="1" showErrorMessage="1" sqref="T40:T41" xr:uid="{00000000-0002-0000-05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50532"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50533"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50534"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50535"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50536"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50537"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50538"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50539"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50540"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50541"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0542"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50543"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0544"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50545"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50546"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50547"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50548"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50549"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50565" r:id="rId25" name="Check Box 37">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0566" r:id="rId26" name="Check Box 38">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0567" r:id="rId27" name="Check Box 39">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AT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113</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0.517",IF(共通条件・結果!AA7="７地域",0.479,IF(共通条件・結果!AA7="６地域",0.491,IF(共通条件・結果!AA7="５地域",0.52,IF(共通条件・結果!AA7="４地域",0.481,IF(共通条件・結果!AA7="３地域",0.55,IF(共通条件・結果!AA7="２地域",0.548,IF(共通条件・結果!AA7="１地域",0.526))))))))</f>
        <v>0.55000000000000004</v>
      </c>
      <c r="AA4" s="429"/>
      <c r="AB4" s="430">
        <f>IF(共通条件・結果!AA7="８地域","-",IF(共通条件・結果!AA7="７地域",0.848,IF(共通条件・結果!AA7="６地域",0.763,IF(共通条件・結果!AA7="５地域",0.815,IF(共通条件・結果!AA7="４地域",0.723,IF(共通条件・結果!AA7="３地域",0.75,IF(共通条件・結果!AA7="２地域",0.753,IF(共通条件・結果!AA7="１地域",0.79))))))))</f>
        <v>0.75</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89"/>
      <c r="E8" s="299"/>
      <c r="F8" s="291"/>
      <c r="G8" s="290"/>
      <c r="H8" s="289"/>
      <c r="I8" s="290"/>
      <c r="J8" s="293"/>
      <c r="K8" s="294"/>
      <c r="L8" s="289"/>
      <c r="M8" s="290"/>
      <c r="N8" s="245"/>
      <c r="O8" s="246"/>
      <c r="P8" s="409"/>
      <c r="Q8" s="410"/>
      <c r="R8" s="461"/>
      <c r="S8" s="462"/>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IF(共通条件・結果!$AA$7="８地域",0.01*(16+19*(2*V8+X8)/T8),0.01*(16+24*(2*V8+X8)/T8))</f>
        <v>#DIV/0!</v>
      </c>
      <c r="AQ8" s="2" t="e">
        <f t="shared" ref="AQ8:AQ14" si="5">0.01*(5+20*(3*V8+X8)/T8)</f>
        <v>#DIV/0!</v>
      </c>
      <c r="AS8" s="2">
        <f>IF(AT8="FALSE",H8,IF(N8="風除室",1/((1/H8)+0.1),0.5*H8+0.5*(1/((1/H8)+AT8))))</f>
        <v>0</v>
      </c>
      <c r="AT8" s="11" t="str">
        <f t="shared" ref="AT8:AT14" si="6">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245"/>
      <c r="Q9" s="246"/>
      <c r="R9" s="293"/>
      <c r="S9" s="460"/>
      <c r="T9" s="404"/>
      <c r="U9" s="405"/>
      <c r="V9" s="404"/>
      <c r="W9" s="406"/>
      <c r="X9" s="407"/>
      <c r="Y9" s="408"/>
      <c r="Z9" s="365" t="str">
        <f t="shared" si="0"/>
        <v/>
      </c>
      <c r="AA9" s="365"/>
      <c r="AB9" s="365" t="str">
        <f t="shared" si="1"/>
        <v/>
      </c>
      <c r="AC9" s="365"/>
      <c r="AD9" s="365" t="str">
        <f t="shared" si="2"/>
        <v/>
      </c>
      <c r="AE9" s="403"/>
      <c r="AH9" s="12" t="b">
        <v>1</v>
      </c>
      <c r="AI9" s="2">
        <f t="shared" si="3"/>
        <v>0</v>
      </c>
      <c r="AJ9" s="2">
        <f t="shared" si="4"/>
        <v>0</v>
      </c>
      <c r="AL9" s="12" t="b">
        <v>1</v>
      </c>
      <c r="AM9" s="2" t="str">
        <f t="shared" ref="AM9:AM14" si="7">IF(AL9=TRUE,"0.93",IF(ISERROR(AP9),"エラー",IF(AP9&gt;0.93,"0.93",AP9)))</f>
        <v>0.93</v>
      </c>
      <c r="AN9" s="2" t="str">
        <f t="shared" ref="AN9:AN14" si="8">IF(AL9=TRUE,"0.51",IF(ISERROR(AQ9),"エラー",IF(AQ9&gt;0.72,"0.72",AQ9)))</f>
        <v>0.51</v>
      </c>
      <c r="AP9" s="2" t="e">
        <f>IF(共通条件・結果!$AA$7="８地域",0.01*(16+19*(2*V9+X9)/T9),0.01*(16+24*(2*V9+X9)/T9))</f>
        <v>#DIV/0!</v>
      </c>
      <c r="AQ9" s="2" t="e">
        <f t="shared" si="5"/>
        <v>#DIV/0!</v>
      </c>
      <c r="AS9" s="2">
        <f t="shared" ref="AS9:AS14" si="9">IF(AT9="FALSE",H9,IF(N9="風除室",1/((1/H9)+0.1),0.5*H9+0.5*(1/((1/H9)+AT9))))</f>
        <v>0</v>
      </c>
      <c r="AT9" s="11" t="str">
        <f t="shared" si="6"/>
        <v>FALSE</v>
      </c>
    </row>
    <row r="10" spans="2:46" s="2" customFormat="1" ht="21.95" customHeight="1" x14ac:dyDescent="0.15">
      <c r="B10" s="295"/>
      <c r="C10" s="296"/>
      <c r="D10" s="289"/>
      <c r="E10" s="299"/>
      <c r="F10" s="291"/>
      <c r="G10" s="290"/>
      <c r="H10" s="289"/>
      <c r="I10" s="290"/>
      <c r="J10" s="293"/>
      <c r="K10" s="294"/>
      <c r="L10" s="289"/>
      <c r="M10" s="290"/>
      <c r="N10" s="245"/>
      <c r="O10" s="246"/>
      <c r="P10" s="245"/>
      <c r="Q10" s="246"/>
      <c r="R10" s="293"/>
      <c r="S10" s="460"/>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7"/>
        <v>0.93</v>
      </c>
      <c r="AN10" s="2" t="str">
        <f t="shared" si="8"/>
        <v>0.51</v>
      </c>
      <c r="AP10" s="2" t="e">
        <f>IF(共通条件・結果!$AA$7="８地域",0.01*(16+19*(2*V10+X10)/T10),0.01*(16+24*(2*V10+X10)/T10))</f>
        <v>#DIV/0!</v>
      </c>
      <c r="AQ10" s="2" t="e">
        <f t="shared" si="5"/>
        <v>#DIV/0!</v>
      </c>
      <c r="AS10" s="2">
        <f t="shared" si="9"/>
        <v>0</v>
      </c>
      <c r="AT10" s="11" t="str">
        <f t="shared" si="6"/>
        <v>FALSE</v>
      </c>
    </row>
    <row r="11" spans="2:46" s="2" customFormat="1" ht="21.95" customHeight="1" x14ac:dyDescent="0.15">
      <c r="B11" s="295"/>
      <c r="C11" s="296"/>
      <c r="D11" s="289"/>
      <c r="E11" s="299"/>
      <c r="F11" s="291"/>
      <c r="G11" s="290"/>
      <c r="H11" s="289"/>
      <c r="I11" s="290"/>
      <c r="J11" s="293"/>
      <c r="K11" s="294"/>
      <c r="L11" s="289"/>
      <c r="M11" s="290"/>
      <c r="N11" s="245"/>
      <c r="O11" s="246"/>
      <c r="P11" s="245"/>
      <c r="Q11" s="246"/>
      <c r="R11" s="293"/>
      <c r="S11" s="460"/>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7"/>
        <v>0.93</v>
      </c>
      <c r="AN11" s="2" t="str">
        <f t="shared" si="8"/>
        <v>0.51</v>
      </c>
      <c r="AP11" s="2" t="e">
        <f>IF(共通条件・結果!$AA$7="８地域",0.01*(16+19*(2*V11+X11)/T11),0.01*(16+24*(2*V11+X11)/T11))</f>
        <v>#DIV/0!</v>
      </c>
      <c r="AQ11" s="2" t="e">
        <f t="shared" si="5"/>
        <v>#DIV/0!</v>
      </c>
      <c r="AS11" s="2">
        <f t="shared" si="9"/>
        <v>0</v>
      </c>
      <c r="AT11" s="11" t="str">
        <f t="shared" si="6"/>
        <v>FALSE</v>
      </c>
    </row>
    <row r="12" spans="2:46" s="2" customFormat="1" ht="21.95" customHeight="1" x14ac:dyDescent="0.15">
      <c r="B12" s="295"/>
      <c r="C12" s="296"/>
      <c r="D12" s="289"/>
      <c r="E12" s="299"/>
      <c r="F12" s="291"/>
      <c r="G12" s="290"/>
      <c r="H12" s="289"/>
      <c r="I12" s="290"/>
      <c r="J12" s="293"/>
      <c r="K12" s="294"/>
      <c r="L12" s="289"/>
      <c r="M12" s="290"/>
      <c r="N12" s="245"/>
      <c r="O12" s="246"/>
      <c r="P12" s="245"/>
      <c r="Q12" s="246"/>
      <c r="R12" s="293"/>
      <c r="S12" s="460"/>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7"/>
        <v>0.93</v>
      </c>
      <c r="AN12" s="2" t="str">
        <f t="shared" si="8"/>
        <v>0.51</v>
      </c>
      <c r="AP12" s="2" t="e">
        <f>IF(共通条件・結果!$AA$7="８地域",0.01*(16+19*(2*V12+X12)/T12),0.01*(16+24*(2*V12+X12)/T12))</f>
        <v>#DIV/0!</v>
      </c>
      <c r="AQ12" s="2" t="e">
        <f t="shared" si="5"/>
        <v>#DIV/0!</v>
      </c>
      <c r="AS12" s="2">
        <f t="shared" si="9"/>
        <v>0</v>
      </c>
      <c r="AT12" s="11" t="str">
        <f t="shared" si="6"/>
        <v>FALSE</v>
      </c>
    </row>
    <row r="13" spans="2:46" s="2" customFormat="1" ht="21.95" customHeight="1" x14ac:dyDescent="0.15">
      <c r="B13" s="295"/>
      <c r="C13" s="296"/>
      <c r="D13" s="289"/>
      <c r="E13" s="299"/>
      <c r="F13" s="291"/>
      <c r="G13" s="290"/>
      <c r="H13" s="289"/>
      <c r="I13" s="290"/>
      <c r="J13" s="293"/>
      <c r="K13" s="294"/>
      <c r="L13" s="289"/>
      <c r="M13" s="290"/>
      <c r="N13" s="245"/>
      <c r="O13" s="246"/>
      <c r="P13" s="245"/>
      <c r="Q13" s="246"/>
      <c r="R13" s="293"/>
      <c r="S13" s="460"/>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7"/>
        <v>0.93</v>
      </c>
      <c r="AN13" s="2" t="str">
        <f t="shared" si="8"/>
        <v>0.51</v>
      </c>
      <c r="AP13" s="2" t="e">
        <f>IF(共通条件・結果!$AA$7="８地域",0.01*(16+19*(2*V13+X13)/T13),0.01*(16+24*(2*V13+X13)/T13))</f>
        <v>#DIV/0!</v>
      </c>
      <c r="AQ13" s="2" t="e">
        <f t="shared" si="5"/>
        <v>#DIV/0!</v>
      </c>
      <c r="AS13" s="2">
        <f t="shared" si="9"/>
        <v>0</v>
      </c>
      <c r="AT13" s="11" t="str">
        <f t="shared" si="6"/>
        <v>FALSE</v>
      </c>
    </row>
    <row r="14" spans="2:46" s="2" customFormat="1" ht="21.95" customHeight="1" thickBot="1" x14ac:dyDescent="0.2">
      <c r="B14" s="304"/>
      <c r="C14" s="305"/>
      <c r="D14" s="306"/>
      <c r="E14" s="384"/>
      <c r="F14" s="385"/>
      <c r="G14" s="307"/>
      <c r="H14" s="306"/>
      <c r="I14" s="307"/>
      <c r="J14" s="455"/>
      <c r="K14" s="456"/>
      <c r="L14" s="457"/>
      <c r="M14" s="458"/>
      <c r="N14" s="391"/>
      <c r="O14" s="392"/>
      <c r="P14" s="368"/>
      <c r="Q14" s="369"/>
      <c r="R14" s="455"/>
      <c r="S14" s="459"/>
      <c r="T14" s="394"/>
      <c r="U14" s="395"/>
      <c r="V14" s="394"/>
      <c r="W14" s="396"/>
      <c r="X14" s="397"/>
      <c r="Y14" s="398"/>
      <c r="Z14" s="399" t="str">
        <f t="shared" si="0"/>
        <v/>
      </c>
      <c r="AA14" s="400"/>
      <c r="AB14" s="389" t="str">
        <f t="shared" si="1"/>
        <v/>
      </c>
      <c r="AC14" s="389"/>
      <c r="AD14" s="389" t="str">
        <f t="shared" si="2"/>
        <v/>
      </c>
      <c r="AE14" s="390"/>
      <c r="AH14" s="12" t="b">
        <v>1</v>
      </c>
      <c r="AI14" s="2">
        <f t="shared" si="3"/>
        <v>0</v>
      </c>
      <c r="AJ14" s="2">
        <f t="shared" si="4"/>
        <v>0</v>
      </c>
      <c r="AL14" s="12" t="b">
        <v>1</v>
      </c>
      <c r="AM14" s="2" t="str">
        <f t="shared" si="7"/>
        <v>0.93</v>
      </c>
      <c r="AN14" s="2" t="str">
        <f t="shared" si="8"/>
        <v>0.51</v>
      </c>
      <c r="AP14" s="2" t="e">
        <f>IF(共通条件・結果!$AA$7="８地域",0.01*(16+19*(2*V14+X14)/T14),0.01*(16+24*(2*V14+X14)/T14))</f>
        <v>#DIV/0!</v>
      </c>
      <c r="AQ14" s="2" t="e">
        <f t="shared" si="5"/>
        <v>#DIV/0!</v>
      </c>
      <c r="AS14" s="2">
        <f t="shared" si="9"/>
        <v>0</v>
      </c>
      <c r="AT14" s="11" t="str">
        <f t="shared" si="6"/>
        <v>FALSE</v>
      </c>
    </row>
    <row r="15" spans="2:46" s="2" customFormat="1" ht="21.95" customHeight="1" thickBot="1" x14ac:dyDescent="0.2">
      <c r="B15" s="386" t="s">
        <v>114</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 t="shared" ref="AD15" si="10">SUM(AD8:AE14)</f>
        <v>0</v>
      </c>
      <c r="AE15" s="329"/>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115</v>
      </c>
      <c r="M23" s="248"/>
      <c r="N23" s="248"/>
      <c r="O23" s="248"/>
      <c r="P23" s="248"/>
      <c r="Q23" s="248"/>
      <c r="R23" s="248"/>
      <c r="S23" s="248"/>
      <c r="T23" s="248"/>
      <c r="U23" s="248"/>
      <c r="V23" s="248"/>
      <c r="W23" s="248"/>
      <c r="X23" s="248"/>
      <c r="Y23" s="249"/>
      <c r="Z23" s="327">
        <f>SUM(Z21:AA22)</f>
        <v>0</v>
      </c>
      <c r="AA23" s="330"/>
      <c r="AB23" s="327">
        <f t="shared" ref="AB23" si="11">SUM(AB21:AC22)</f>
        <v>0</v>
      </c>
      <c r="AC23" s="330"/>
      <c r="AD23" s="327">
        <f t="shared" ref="AD23" si="12">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453" t="str">
        <f>IF(N29="","",N29-P29)</f>
        <v/>
      </c>
      <c r="S29" s="454"/>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335" t="str">
        <f>IF(N30="","",N30-P30)</f>
        <v/>
      </c>
      <c r="S30" s="336"/>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335" t="str">
        <f>IF(N31="","",N31-P31)</f>
        <v/>
      </c>
      <c r="S31" s="336"/>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335" t="str">
        <f>IF(N32="","",N32-P32)</f>
        <v/>
      </c>
      <c r="S32" s="336"/>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333" t="str">
        <f>IF(N33="","",N33-P33)</f>
        <v/>
      </c>
      <c r="S33" s="334"/>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116</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27">
        <f t="shared" ref="AD34" si="13">SUM(AD29:AE33)</f>
        <v>0</v>
      </c>
      <c r="AE34" s="329"/>
      <c r="AH34" s="12"/>
      <c r="AO34" s="12"/>
      <c r="AP34" s="12"/>
    </row>
    <row r="35" spans="2:42"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2" s="2" customFormat="1" ht="21.75" customHeight="1" thickBot="1" x14ac:dyDescent="0.2">
      <c r="L36" s="4" t="s">
        <v>233</v>
      </c>
      <c r="U36" s="4"/>
      <c r="V36" s="4"/>
      <c r="X36" s="4"/>
    </row>
    <row r="37" spans="2:42"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row>
    <row r="38" spans="2:42"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row>
    <row r="39" spans="2:42"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row>
    <row r="40" spans="2:42"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row>
    <row r="41" spans="2:42"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row>
    <row r="42" spans="2:42" s="2" customFormat="1" ht="21.75" customHeight="1" thickBot="1" x14ac:dyDescent="0.2">
      <c r="L42" s="247" t="s">
        <v>250</v>
      </c>
      <c r="M42" s="248"/>
      <c r="N42" s="248"/>
      <c r="O42" s="248"/>
      <c r="P42" s="248"/>
      <c r="Q42" s="248"/>
      <c r="R42" s="248"/>
      <c r="S42" s="248"/>
      <c r="T42" s="248"/>
      <c r="U42" s="248"/>
      <c r="V42" s="248"/>
      <c r="W42" s="248"/>
      <c r="X42" s="248"/>
      <c r="Y42" s="248"/>
      <c r="Z42" s="248"/>
      <c r="AA42" s="249"/>
      <c r="AB42" s="327">
        <f>SUM(AB40:AB41)</f>
        <v>0</v>
      </c>
      <c r="AC42" s="328"/>
      <c r="AD42" s="328"/>
      <c r="AE42" s="329"/>
    </row>
    <row r="43" spans="2:42"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2" s="2" customFormat="1" ht="21.95" customHeight="1" thickBot="1" x14ac:dyDescent="0.2">
      <c r="B44" s="4" t="s">
        <v>241</v>
      </c>
      <c r="F44" s="4"/>
    </row>
    <row r="45" spans="2:42" s="2" customFormat="1" ht="21.95" customHeight="1" x14ac:dyDescent="0.15">
      <c r="B45" s="339" t="s">
        <v>117</v>
      </c>
      <c r="C45" s="340"/>
      <c r="D45" s="36" t="s">
        <v>31</v>
      </c>
      <c r="E45" s="37"/>
      <c r="F45" s="37"/>
      <c r="G45" s="37"/>
      <c r="H45" s="37"/>
      <c r="I45" s="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342"/>
      <c r="D46" s="38" t="s">
        <v>42</v>
      </c>
      <c r="E46" s="14"/>
      <c r="F46" s="14"/>
      <c r="G46" s="14"/>
      <c r="H46" s="14"/>
      <c r="I46" s="14"/>
      <c r="J46" s="38"/>
      <c r="K46" s="14"/>
      <c r="L46" s="14"/>
      <c r="M46" s="14"/>
      <c r="N46" s="14"/>
      <c r="O46" s="14"/>
      <c r="P46" s="14"/>
      <c r="Q46" s="14"/>
      <c r="R46" s="14"/>
      <c r="S46" s="14"/>
      <c r="T46" s="14"/>
      <c r="U46" s="14"/>
      <c r="V46" s="14"/>
      <c r="W46" s="14"/>
      <c r="X46" s="14"/>
      <c r="Y46" s="14"/>
      <c r="Z46" s="14"/>
      <c r="AA46" s="348">
        <f>$Z$15+$Z$23+$Z$34</f>
        <v>0</v>
      </c>
      <c r="AB46" s="348"/>
      <c r="AC46" s="348"/>
      <c r="AD46" s="302" t="s">
        <v>261</v>
      </c>
      <c r="AE46" s="303"/>
    </row>
    <row r="47" spans="2:42" s="2" customFormat="1" ht="21.95" customHeight="1" x14ac:dyDescent="0.15">
      <c r="B47" s="341"/>
      <c r="C47" s="342"/>
      <c r="D47" s="38" t="s">
        <v>43</v>
      </c>
      <c r="E47" s="14"/>
      <c r="F47" s="14"/>
      <c r="G47" s="14"/>
      <c r="H47" s="14"/>
      <c r="I47" s="14"/>
      <c r="J47" s="38"/>
      <c r="K47" s="14"/>
      <c r="L47" s="14"/>
      <c r="M47" s="14"/>
      <c r="N47" s="14"/>
      <c r="O47" s="14"/>
      <c r="P47" s="14"/>
      <c r="Q47" s="14"/>
      <c r="R47" s="14"/>
      <c r="S47" s="14"/>
      <c r="T47" s="14"/>
      <c r="U47" s="14"/>
      <c r="V47" s="14"/>
      <c r="W47" s="14"/>
      <c r="X47" s="14"/>
      <c r="Y47" s="14"/>
      <c r="Z47" s="93"/>
      <c r="AA47" s="348">
        <f>IF(共通条件・結果!AA7="８地域","-",$AB$15+$AB$23+$AB$34)</f>
        <v>0</v>
      </c>
      <c r="AB47" s="348"/>
      <c r="AC47" s="348"/>
      <c r="AD47" s="302" t="s">
        <v>261</v>
      </c>
      <c r="AE47" s="303"/>
    </row>
    <row r="48" spans="2:42" s="2" customFormat="1" ht="21.95" customHeight="1" thickBot="1" x14ac:dyDescent="0.2">
      <c r="B48" s="343"/>
      <c r="C48" s="344"/>
      <c r="D48" s="35" t="s">
        <v>12</v>
      </c>
      <c r="E48" s="15"/>
      <c r="F48" s="15"/>
      <c r="G48" s="15"/>
      <c r="H48" s="15"/>
      <c r="I48" s="15"/>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c r="AI48" s="22"/>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yutlSvHGyLx+AraOv9t1Zir8LLzieLzstzi7jqtPrjya+AU4xMjW2Uan31U7yYeemhNoWjJaYFIlcfEzOXQv/g==" saltValue="PaQdXSuyDliHM3D86NjyLQ==" spinCount="100000" sheet="1" selectLockedCells="1"/>
  <mergeCells count="273">
    <mergeCell ref="L30:M30"/>
    <mergeCell ref="N30:O30"/>
    <mergeCell ref="P30:Q30"/>
    <mergeCell ref="R30:S30"/>
    <mergeCell ref="T30:U30"/>
    <mergeCell ref="V30:W30"/>
    <mergeCell ref="AD21:AE21"/>
    <mergeCell ref="AD23:AE23"/>
    <mergeCell ref="X26:AC26"/>
    <mergeCell ref="X21:Y21"/>
    <mergeCell ref="X29:Y29"/>
    <mergeCell ref="Z29:AA29"/>
    <mergeCell ref="X30:Y30"/>
    <mergeCell ref="Z30:AA30"/>
    <mergeCell ref="AB30:AC30"/>
    <mergeCell ref="AD30:AE30"/>
    <mergeCell ref="X22:Y22"/>
    <mergeCell ref="AB29:AC29"/>
    <mergeCell ref="AD29:AE29"/>
    <mergeCell ref="L29:M29"/>
    <mergeCell ref="N29:O29"/>
    <mergeCell ref="P29:Q29"/>
    <mergeCell ref="R29:S29"/>
    <mergeCell ref="T29:U29"/>
    <mergeCell ref="H14:I14"/>
    <mergeCell ref="J14:K14"/>
    <mergeCell ref="L14:M14"/>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AB9:AC9"/>
    <mergeCell ref="N10:O10"/>
    <mergeCell ref="Z21:AA21"/>
    <mergeCell ref="AI6:AJ6"/>
    <mergeCell ref="AM6:AN6"/>
    <mergeCell ref="AP6:AQ6"/>
    <mergeCell ref="P10:Q10"/>
    <mergeCell ref="P9:Q9"/>
    <mergeCell ref="J12:K12"/>
    <mergeCell ref="L12:M12"/>
    <mergeCell ref="AB13:AC13"/>
    <mergeCell ref="AD13:AE13"/>
    <mergeCell ref="R13:S13"/>
    <mergeCell ref="T13:U13"/>
    <mergeCell ref="V13:W13"/>
    <mergeCell ref="X13:Y13"/>
    <mergeCell ref="Z13:AA13"/>
    <mergeCell ref="P13:Q13"/>
    <mergeCell ref="N14:O14"/>
    <mergeCell ref="P14:Q14"/>
    <mergeCell ref="L18:M20"/>
    <mergeCell ref="N18:Q19"/>
    <mergeCell ref="R18:S20"/>
    <mergeCell ref="T18:U20"/>
    <mergeCell ref="AB21:AC21"/>
    <mergeCell ref="AS6:AT6"/>
    <mergeCell ref="T7:U7"/>
    <mergeCell ref="V7:W7"/>
    <mergeCell ref="X7:Y7"/>
    <mergeCell ref="R9:S9"/>
    <mergeCell ref="T9:U9"/>
    <mergeCell ref="V9:W9"/>
    <mergeCell ref="X9:Y9"/>
    <mergeCell ref="Z9:AA9"/>
    <mergeCell ref="Z8:AA8"/>
    <mergeCell ref="AB8:AC8"/>
    <mergeCell ref="AD8:AE8"/>
    <mergeCell ref="R8:S8"/>
    <mergeCell ref="T8:U8"/>
    <mergeCell ref="V8:W8"/>
    <mergeCell ref="X8:Y8"/>
    <mergeCell ref="AD9:AE9"/>
    <mergeCell ref="B9:C9"/>
    <mergeCell ref="D9:E9"/>
    <mergeCell ref="F9:G9"/>
    <mergeCell ref="H9:I9"/>
    <mergeCell ref="J9:K9"/>
    <mergeCell ref="L9:M9"/>
    <mergeCell ref="N9:O9"/>
    <mergeCell ref="N8:O8"/>
    <mergeCell ref="P8:Q8"/>
    <mergeCell ref="B8:C8"/>
    <mergeCell ref="D8:E8"/>
    <mergeCell ref="F8:G8"/>
    <mergeCell ref="H8:I8"/>
    <mergeCell ref="J8:K8"/>
    <mergeCell ref="L8:M8"/>
    <mergeCell ref="F10:G10"/>
    <mergeCell ref="T11:U11"/>
    <mergeCell ref="V11:W11"/>
    <mergeCell ref="X11:Y11"/>
    <mergeCell ref="Z11:AA11"/>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H10:I10"/>
    <mergeCell ref="J10:K10"/>
    <mergeCell ref="L10:M10"/>
    <mergeCell ref="Z12:AA12"/>
    <mergeCell ref="AB12:AC12"/>
    <mergeCell ref="AD12:AE12"/>
    <mergeCell ref="B13:C13"/>
    <mergeCell ref="D13:E13"/>
    <mergeCell ref="F13:G13"/>
    <mergeCell ref="H13:I13"/>
    <mergeCell ref="J13:K13"/>
    <mergeCell ref="L13:M13"/>
    <mergeCell ref="N13:O13"/>
    <mergeCell ref="N12:O12"/>
    <mergeCell ref="P12:Q12"/>
    <mergeCell ref="R12:S12"/>
    <mergeCell ref="T12:U12"/>
    <mergeCell ref="V12:W12"/>
    <mergeCell ref="X12:Y12"/>
    <mergeCell ref="B12:C12"/>
    <mergeCell ref="D12:E12"/>
    <mergeCell ref="F12:G12"/>
    <mergeCell ref="H12:I12"/>
    <mergeCell ref="AS16:AT16"/>
    <mergeCell ref="R14:S14"/>
    <mergeCell ref="T14:U14"/>
    <mergeCell ref="V14:W14"/>
    <mergeCell ref="X14:Y14"/>
    <mergeCell ref="Z14:AA14"/>
    <mergeCell ref="AB14:AC14"/>
    <mergeCell ref="AD18:AE20"/>
    <mergeCell ref="X19:Y20"/>
    <mergeCell ref="Z19:AA20"/>
    <mergeCell ref="AB19:AC20"/>
    <mergeCell ref="AI19:AJ19"/>
    <mergeCell ref="AS19:AT19"/>
    <mergeCell ref="AD14:AE14"/>
    <mergeCell ref="X18:AC18"/>
    <mergeCell ref="Z15:AA15"/>
    <mergeCell ref="AB15:AC15"/>
    <mergeCell ref="AD15:AE15"/>
    <mergeCell ref="B15:Y15"/>
    <mergeCell ref="B14:C14"/>
    <mergeCell ref="D14:E14"/>
    <mergeCell ref="F14:G14"/>
    <mergeCell ref="V18:W20"/>
    <mergeCell ref="N20:O20"/>
    <mergeCell ref="AI27:AJ27"/>
    <mergeCell ref="L26:M28"/>
    <mergeCell ref="N26:O28"/>
    <mergeCell ref="P26:Q28"/>
    <mergeCell ref="R26:S28"/>
    <mergeCell ref="T26:U28"/>
    <mergeCell ref="V26:W28"/>
    <mergeCell ref="Z22:AA22"/>
    <mergeCell ref="AB22:AC22"/>
    <mergeCell ref="AD22:AE22"/>
    <mergeCell ref="Z23:AA23"/>
    <mergeCell ref="AB23:AC23"/>
    <mergeCell ref="AD26:AE28"/>
    <mergeCell ref="X27:Y28"/>
    <mergeCell ref="Z27:AA28"/>
    <mergeCell ref="AB27:AC28"/>
    <mergeCell ref="V22:W22"/>
    <mergeCell ref="L23:Y23"/>
    <mergeCell ref="V29:W29"/>
    <mergeCell ref="X32:Y32"/>
    <mergeCell ref="Z32:AA32"/>
    <mergeCell ref="AB32:AC32"/>
    <mergeCell ref="AD32:AE32"/>
    <mergeCell ref="L33:M33"/>
    <mergeCell ref="N33:O33"/>
    <mergeCell ref="P33:Q33"/>
    <mergeCell ref="R33:S33"/>
    <mergeCell ref="T33:U33"/>
    <mergeCell ref="V33:W33"/>
    <mergeCell ref="N32:O32"/>
    <mergeCell ref="P32:Q32"/>
    <mergeCell ref="R32:S32"/>
    <mergeCell ref="T32:U32"/>
    <mergeCell ref="V32:W32"/>
    <mergeCell ref="L31:M31"/>
    <mergeCell ref="N31:O31"/>
    <mergeCell ref="P31:Q31"/>
    <mergeCell ref="R31:S31"/>
    <mergeCell ref="T31:U31"/>
    <mergeCell ref="V31:W31"/>
    <mergeCell ref="X31:Y31"/>
    <mergeCell ref="Z31:AA31"/>
    <mergeCell ref="AB31:AC31"/>
    <mergeCell ref="Q41:S41"/>
    <mergeCell ref="T41:W41"/>
    <mergeCell ref="X41:AA41"/>
    <mergeCell ref="AB41:AE41"/>
    <mergeCell ref="AB42:AE42"/>
    <mergeCell ref="X33:Y33"/>
    <mergeCell ref="Z33:AA33"/>
    <mergeCell ref="AB33:AC33"/>
    <mergeCell ref="AD33:AE33"/>
    <mergeCell ref="Z34:AA34"/>
    <mergeCell ref="AB34:AC34"/>
    <mergeCell ref="AD34:AE34"/>
    <mergeCell ref="L34:Y34"/>
    <mergeCell ref="L42:AA42"/>
    <mergeCell ref="AB40:AE40"/>
    <mergeCell ref="N41:P41"/>
    <mergeCell ref="AD31:AE31"/>
    <mergeCell ref="L32:M32"/>
    <mergeCell ref="B45:C48"/>
    <mergeCell ref="AC45:AD45"/>
    <mergeCell ref="AA46:AC46"/>
    <mergeCell ref="AA47:AC47"/>
    <mergeCell ref="AA48:AC48"/>
    <mergeCell ref="L37:M39"/>
    <mergeCell ref="N37:S38"/>
    <mergeCell ref="T37:W39"/>
    <mergeCell ref="X37:AA39"/>
    <mergeCell ref="AB37:AE39"/>
    <mergeCell ref="N39:P39"/>
    <mergeCell ref="J45:L45"/>
    <mergeCell ref="O45:P45"/>
    <mergeCell ref="S45:T45"/>
    <mergeCell ref="W45:X45"/>
    <mergeCell ref="Q39:S39"/>
    <mergeCell ref="N40:P40"/>
    <mergeCell ref="Q40:S40"/>
    <mergeCell ref="T40:W40"/>
    <mergeCell ref="L40:M40"/>
    <mergeCell ref="L41:M41"/>
    <mergeCell ref="X40:AA40"/>
    <mergeCell ref="AD46:AE46"/>
    <mergeCell ref="AD47:AE47"/>
    <mergeCell ref="P20:Q20"/>
    <mergeCell ref="L21:M21"/>
    <mergeCell ref="N21:O21"/>
    <mergeCell ref="P21:Q21"/>
    <mergeCell ref="R21:S21"/>
    <mergeCell ref="T21:U21"/>
    <mergeCell ref="V21:W21"/>
    <mergeCell ref="L22:M22"/>
    <mergeCell ref="N22:O22"/>
    <mergeCell ref="P22:Q22"/>
    <mergeCell ref="R22:S22"/>
    <mergeCell ref="T22:U22"/>
  </mergeCells>
  <phoneticPr fontId="4"/>
  <conditionalFormatting sqref="B8:Y14">
    <cfRule type="expression" dxfId="93" priority="183" stopIfTrue="1">
      <formula>$AH$3&lt;&gt;2</formula>
    </cfRule>
  </conditionalFormatting>
  <conditionalFormatting sqref="J45">
    <cfRule type="expression" dxfId="92" priority="1289" stopIfTrue="1">
      <formula>$J$45=0</formula>
    </cfRule>
  </conditionalFormatting>
  <conditionalFormatting sqref="J45:L45">
    <cfRule type="expression" dxfId="91" priority="359">
      <formula>$AH$3&lt;&gt;2</formula>
    </cfRule>
  </conditionalFormatting>
  <conditionalFormatting sqref="L29:Q33">
    <cfRule type="expression" dxfId="90" priority="101" stopIfTrue="1">
      <formula>$AH$3&lt;&gt;2</formula>
    </cfRule>
  </conditionalFormatting>
  <conditionalFormatting sqref="L21:Y22">
    <cfRule type="expression" dxfId="89" priority="155" stopIfTrue="1">
      <formula>$AH$3&lt;&gt;2</formula>
    </cfRule>
  </conditionalFormatting>
  <conditionalFormatting sqref="L40:AA41">
    <cfRule type="expression" dxfId="88" priority="63" stopIfTrue="1">
      <formula>$AH$3&lt;&gt;2</formula>
    </cfRule>
  </conditionalFormatting>
  <conditionalFormatting sqref="O45:P45">
    <cfRule type="expression" dxfId="87" priority="358">
      <formula>$AH$3&lt;&gt;2</formula>
    </cfRule>
    <cfRule type="expression" dxfId="86" priority="1290" stopIfTrue="1">
      <formula>$O$45=0</formula>
    </cfRule>
  </conditionalFormatting>
  <conditionalFormatting sqref="R29:S33">
    <cfRule type="expression" dxfId="85" priority="11">
      <formula>$AH$3&lt;&gt;2</formula>
    </cfRule>
  </conditionalFormatting>
  <conditionalFormatting sqref="S45:T45">
    <cfRule type="expression" dxfId="84" priority="357">
      <formula>$AH$3&lt;&gt;2</formula>
    </cfRule>
    <cfRule type="expression" dxfId="83" priority="1288" stopIfTrue="1">
      <formula>$S$45=0</formula>
    </cfRule>
  </conditionalFormatting>
  <conditionalFormatting sqref="T8:Y14">
    <cfRule type="expression" dxfId="82" priority="351">
      <formula>$AL8=TRUE</formula>
    </cfRule>
  </conditionalFormatting>
  <conditionalFormatting sqref="T29:Y33">
    <cfRule type="expression" dxfId="81" priority="95" stopIfTrue="1">
      <formula>$AH$3&lt;&gt;2</formula>
    </cfRule>
  </conditionalFormatting>
  <conditionalFormatting sqref="W45:X45">
    <cfRule type="expression" dxfId="80" priority="356">
      <formula>$AH$3&lt;&gt;2</formula>
    </cfRule>
  </conditionalFormatting>
  <conditionalFormatting sqref="Z4:AC4">
    <cfRule type="expression" dxfId="79" priority="61">
      <formula>$AH$3&lt;&gt;2</formula>
    </cfRule>
  </conditionalFormatting>
  <conditionalFormatting sqref="Z8:AE15">
    <cfRule type="expression" dxfId="78" priority="37">
      <formula>$AH$3&lt;&gt;2</formula>
    </cfRule>
  </conditionalFormatting>
  <conditionalFormatting sqref="Z21:AE23">
    <cfRule type="expression" dxfId="77" priority="28">
      <formula>$AH$3&lt;&gt;2</formula>
    </cfRule>
  </conditionalFormatting>
  <conditionalFormatting sqref="Z29:AE34">
    <cfRule type="expression" dxfId="76" priority="5">
      <formula>$AH$3&lt;&gt;2</formula>
    </cfRule>
  </conditionalFormatting>
  <conditionalFormatting sqref="AA46:AC48">
    <cfRule type="expression" dxfId="75" priority="1">
      <formula>$AH$3&lt;&gt;2</formula>
    </cfRule>
  </conditionalFormatting>
  <conditionalFormatting sqref="AB40:AE41">
    <cfRule type="expression" dxfId="74" priority="3">
      <formula>$AH$3&lt;&gt;2</formula>
    </cfRule>
  </conditionalFormatting>
  <conditionalFormatting sqref="AC45:AD45">
    <cfRule type="expression" dxfId="73" priority="355">
      <formula>$AH$3&lt;&gt;2</formula>
    </cfRule>
  </conditionalFormatting>
  <conditionalFormatting sqref="AE8:AE14">
    <cfRule type="expression" dxfId="72" priority="395">
      <formula>$AH$3&lt;&gt;2</formula>
    </cfRule>
  </conditionalFormatting>
  <conditionalFormatting sqref="AE40:AE42">
    <cfRule type="expression" dxfId="71" priority="360">
      <formula>$AH$3&lt;&gt;2</formula>
    </cfRule>
  </conditionalFormatting>
  <dataValidations count="3">
    <dataValidation type="list" showInputMessage="1" showErrorMessage="1" sqref="V29:W33 X40:X41 P8:Q14 V21:W22" xr:uid="{00000000-0002-0000-0600-000000000000}">
      <formula1>"1.0,0.7,0.05,0.15,0"</formula1>
    </dataValidation>
    <dataValidation type="list" allowBlank="1" showInputMessage="1" showErrorMessage="1" sqref="N8:N14 T21:T22" xr:uid="{00000000-0002-0000-0600-000001000000}">
      <formula1>"　,雨戸,ｼｬｯﾀｰ,障子,風除室"</formula1>
    </dataValidation>
    <dataValidation type="list" allowBlank="1" showInputMessage="1" showErrorMessage="1" sqref="T40:T41" xr:uid="{00000000-0002-0000-06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1553"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51554"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51555"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51556"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51557"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51558"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51559"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51560"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51561"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51562"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51563"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51564"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51565"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1566"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51567"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1568"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51569"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51570"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51571"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51572"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51573"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51589" r:id="rId25" name="Check Box 37">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1590" r:id="rId26" name="Check Box 38">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1591" r:id="rId27" name="Check Box 39">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T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118</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0.505",IF(共通条件・結果!AA7="７地域",0.495,IF(共通条件・結果!AA7="６地域",0.504,IF(共通条件・結果!AA7="５地域",0.518,IF(共通条件・結果!AA7="４地域",0.481,IF(共通条件・結果!AA7="３地域",0.553,IF(共通条件・結果!AA7="２地域",0.529,IF(共通条件・結果!AA7="１地域",0.508))))))))</f>
        <v>0.55300000000000005</v>
      </c>
      <c r="AA4" s="429"/>
      <c r="AB4" s="430">
        <f>IF(共通条件・結果!AA7="８地域","-",IF(共通条件・結果!AA7="７地域",0.548,IF(共通条件・結果!AA7="６地域",0.523,IF(共通条件・結果!AA7="５地域",0.538,IF(共通条件・結果!AA7="４地域",0.527,IF(共通条件・結果!AA7="３地域",0.542,IF(共通条件・結果!AA7="２地域",0.544,IF(共通条件・結果!AA7="１地域",0.535))))))))</f>
        <v>0.54200000000000004</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97"/>
      <c r="C8" s="298"/>
      <c r="D8" s="289"/>
      <c r="E8" s="299"/>
      <c r="F8" s="291"/>
      <c r="G8" s="290"/>
      <c r="H8" s="289"/>
      <c r="I8" s="290"/>
      <c r="J8" s="293"/>
      <c r="K8" s="294"/>
      <c r="L8" s="289"/>
      <c r="M8" s="290"/>
      <c r="N8" s="245"/>
      <c r="O8" s="246"/>
      <c r="P8" s="409"/>
      <c r="Q8" s="410"/>
      <c r="R8" s="444"/>
      <c r="S8" s="445"/>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 t="shared" ref="AP8:AP14" si="5">0.01*(16+24*(2*V8+X8)/T8)</f>
        <v>#DIV/0!</v>
      </c>
      <c r="AQ8" s="2" t="e">
        <f t="shared" ref="AQ8:AQ14" si="6">0.01*(10+15*(2*V8+X8)/T8)</f>
        <v>#DIV/0!</v>
      </c>
      <c r="AS8" s="2">
        <f>IF(AT8="FALSE",H8,IF(N8="風除室",1/((1/H8)+0.1),0.5*H8+0.5*(1/((1/H8)+AT8))))</f>
        <v>0</v>
      </c>
      <c r="AT8" s="11" t="str">
        <f t="shared" ref="AT8:AT14" si="7">IF(N8="","FALSE",IF(N8="雨戸",0.1,IF(N8="ｼｬｯﾀｰ",0.1,IF(N8="障子",0.18,IF(N8="風除室",0.1)))))</f>
        <v>FALSE</v>
      </c>
    </row>
    <row r="9" spans="2:46" s="2" customFormat="1" ht="21.95" customHeight="1" x14ac:dyDescent="0.15">
      <c r="B9" s="295"/>
      <c r="C9" s="296"/>
      <c r="D9" s="289"/>
      <c r="E9" s="299"/>
      <c r="F9" s="291"/>
      <c r="G9" s="290"/>
      <c r="H9" s="289"/>
      <c r="I9" s="290"/>
      <c r="J9" s="293"/>
      <c r="K9" s="294"/>
      <c r="L9" s="289"/>
      <c r="M9" s="290"/>
      <c r="N9" s="245"/>
      <c r="O9" s="246"/>
      <c r="P9" s="409"/>
      <c r="Q9" s="410"/>
      <c r="R9" s="254"/>
      <c r="S9" s="256"/>
      <c r="T9" s="404"/>
      <c r="U9" s="405"/>
      <c r="V9" s="404"/>
      <c r="W9" s="406"/>
      <c r="X9" s="407"/>
      <c r="Y9" s="408"/>
      <c r="Z9" s="365" t="str">
        <f t="shared" si="0"/>
        <v/>
      </c>
      <c r="AA9" s="365"/>
      <c r="AB9" s="365" t="str">
        <f t="shared" si="1"/>
        <v/>
      </c>
      <c r="AC9" s="365"/>
      <c r="AD9" s="365" t="str">
        <f t="shared" si="2"/>
        <v/>
      </c>
      <c r="AE9" s="403"/>
      <c r="AH9" s="12" t="b">
        <v>1</v>
      </c>
      <c r="AI9" s="2">
        <f t="shared" si="3"/>
        <v>0</v>
      </c>
      <c r="AJ9" s="2">
        <f t="shared" si="4"/>
        <v>0</v>
      </c>
      <c r="AL9" s="12" t="b">
        <v>1</v>
      </c>
      <c r="AM9" s="2" t="str">
        <f t="shared" ref="AM9:AM14" si="8">IF(AL9=TRUE,"0.93",IF(ISERROR(AP9),"エラー",IF(AP9&gt;0.93,"0.93",AP9)))</f>
        <v>0.93</v>
      </c>
      <c r="AN9" s="2" t="str">
        <f t="shared" ref="AN9:AN14" si="9">IF(AL9=TRUE,"0.51",IF(ISERROR(AQ9),"エラー",IF(AQ9&gt;0.72,"0.72",AQ9)))</f>
        <v>0.51</v>
      </c>
      <c r="AP9" s="2" t="e">
        <f t="shared" si="5"/>
        <v>#DIV/0!</v>
      </c>
      <c r="AQ9" s="2" t="e">
        <f t="shared" si="6"/>
        <v>#DIV/0!</v>
      </c>
      <c r="AS9" s="2">
        <f t="shared" ref="AS9:AS14" si="10">IF(AT9="FALSE",H9,IF(N9="風除室",1/((1/H9)+0.1),0.5*H9+0.5*(1/((1/H9)+AT9))))</f>
        <v>0</v>
      </c>
      <c r="AT9" s="11" t="str">
        <f t="shared" si="7"/>
        <v>FALSE</v>
      </c>
    </row>
    <row r="10" spans="2:46" s="2" customFormat="1" ht="21.95" customHeight="1" x14ac:dyDescent="0.15">
      <c r="B10" s="295"/>
      <c r="C10" s="296"/>
      <c r="D10" s="289"/>
      <c r="E10" s="299"/>
      <c r="F10" s="291"/>
      <c r="G10" s="290"/>
      <c r="H10" s="289"/>
      <c r="I10" s="290"/>
      <c r="J10" s="293"/>
      <c r="K10" s="294"/>
      <c r="L10" s="289"/>
      <c r="M10" s="290"/>
      <c r="N10" s="245"/>
      <c r="O10" s="246"/>
      <c r="P10" s="409"/>
      <c r="Q10" s="410"/>
      <c r="R10" s="254"/>
      <c r="S10" s="256"/>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8"/>
        <v>0.93</v>
      </c>
      <c r="AN10" s="2" t="str">
        <f t="shared" si="9"/>
        <v>0.51</v>
      </c>
      <c r="AP10" s="2" t="e">
        <f t="shared" si="5"/>
        <v>#DIV/0!</v>
      </c>
      <c r="AQ10" s="2" t="e">
        <f t="shared" si="6"/>
        <v>#DIV/0!</v>
      </c>
      <c r="AS10" s="2">
        <f t="shared" si="10"/>
        <v>0</v>
      </c>
      <c r="AT10" s="11" t="str">
        <f t="shared" si="7"/>
        <v>FALSE</v>
      </c>
    </row>
    <row r="11" spans="2:46" s="2" customFormat="1" ht="21.95" customHeight="1" x14ac:dyDescent="0.15">
      <c r="B11" s="295"/>
      <c r="C11" s="296"/>
      <c r="D11" s="289"/>
      <c r="E11" s="299"/>
      <c r="F11" s="291"/>
      <c r="G11" s="290"/>
      <c r="H11" s="289"/>
      <c r="I11" s="290"/>
      <c r="J11" s="293"/>
      <c r="K11" s="294"/>
      <c r="L11" s="289"/>
      <c r="M11" s="290"/>
      <c r="N11" s="245"/>
      <c r="O11" s="246"/>
      <c r="P11" s="409"/>
      <c r="Q11" s="410"/>
      <c r="R11" s="254"/>
      <c r="S11" s="256"/>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8"/>
        <v>0.93</v>
      </c>
      <c r="AN11" s="2" t="str">
        <f t="shared" si="9"/>
        <v>0.51</v>
      </c>
      <c r="AP11" s="2" t="e">
        <f t="shared" si="5"/>
        <v>#DIV/0!</v>
      </c>
      <c r="AQ11" s="2" t="e">
        <f t="shared" si="6"/>
        <v>#DIV/0!</v>
      </c>
      <c r="AS11" s="2">
        <f t="shared" si="10"/>
        <v>0</v>
      </c>
      <c r="AT11" s="11" t="str">
        <f t="shared" si="7"/>
        <v>FALSE</v>
      </c>
    </row>
    <row r="12" spans="2:46" s="2" customFormat="1" ht="21.95" customHeight="1" x14ac:dyDescent="0.15">
      <c r="B12" s="295"/>
      <c r="C12" s="296"/>
      <c r="D12" s="289"/>
      <c r="E12" s="299"/>
      <c r="F12" s="291"/>
      <c r="G12" s="290"/>
      <c r="H12" s="289"/>
      <c r="I12" s="290"/>
      <c r="J12" s="293"/>
      <c r="K12" s="294"/>
      <c r="L12" s="289"/>
      <c r="M12" s="290"/>
      <c r="N12" s="245"/>
      <c r="O12" s="246"/>
      <c r="P12" s="409"/>
      <c r="Q12" s="410"/>
      <c r="R12" s="254"/>
      <c r="S12" s="256"/>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8"/>
        <v>0.93</v>
      </c>
      <c r="AN12" s="2" t="str">
        <f t="shared" si="9"/>
        <v>0.51</v>
      </c>
      <c r="AP12" s="2" t="e">
        <f t="shared" si="5"/>
        <v>#DIV/0!</v>
      </c>
      <c r="AQ12" s="2" t="e">
        <f t="shared" si="6"/>
        <v>#DIV/0!</v>
      </c>
      <c r="AS12" s="2">
        <f t="shared" si="10"/>
        <v>0</v>
      </c>
      <c r="AT12" s="11" t="str">
        <f t="shared" si="7"/>
        <v>FALSE</v>
      </c>
    </row>
    <row r="13" spans="2:46" s="2" customFormat="1" ht="21.95" customHeight="1" x14ac:dyDescent="0.15">
      <c r="B13" s="295"/>
      <c r="C13" s="296"/>
      <c r="D13" s="289"/>
      <c r="E13" s="299"/>
      <c r="F13" s="291"/>
      <c r="G13" s="290"/>
      <c r="H13" s="289"/>
      <c r="I13" s="290"/>
      <c r="J13" s="293"/>
      <c r="K13" s="294"/>
      <c r="L13" s="289"/>
      <c r="M13" s="290"/>
      <c r="N13" s="245"/>
      <c r="O13" s="246"/>
      <c r="P13" s="409"/>
      <c r="Q13" s="410"/>
      <c r="R13" s="254"/>
      <c r="S13" s="256"/>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8"/>
        <v>0.93</v>
      </c>
      <c r="AN13" s="2" t="str">
        <f t="shared" si="9"/>
        <v>0.51</v>
      </c>
      <c r="AP13" s="2" t="e">
        <f t="shared" si="5"/>
        <v>#DIV/0!</v>
      </c>
      <c r="AQ13" s="2" t="e">
        <f t="shared" si="6"/>
        <v>#DIV/0!</v>
      </c>
      <c r="AS13" s="2">
        <f t="shared" si="10"/>
        <v>0</v>
      </c>
      <c r="AT13" s="11" t="str">
        <f t="shared" si="7"/>
        <v>FALSE</v>
      </c>
    </row>
    <row r="14" spans="2:46" s="2" customFormat="1" ht="21.95" customHeight="1" thickBot="1" x14ac:dyDescent="0.2">
      <c r="B14" s="304"/>
      <c r="C14" s="305"/>
      <c r="D14" s="306"/>
      <c r="E14" s="384"/>
      <c r="F14" s="385"/>
      <c r="G14" s="307"/>
      <c r="H14" s="306"/>
      <c r="I14" s="307"/>
      <c r="J14" s="455"/>
      <c r="K14" s="456"/>
      <c r="L14" s="457"/>
      <c r="M14" s="458"/>
      <c r="N14" s="391"/>
      <c r="O14" s="392"/>
      <c r="P14" s="401"/>
      <c r="Q14" s="402"/>
      <c r="R14" s="370"/>
      <c r="S14" s="393"/>
      <c r="T14" s="394"/>
      <c r="U14" s="395"/>
      <c r="V14" s="394"/>
      <c r="W14" s="396"/>
      <c r="X14" s="397"/>
      <c r="Y14" s="398"/>
      <c r="Z14" s="399" t="str">
        <f t="shared" si="0"/>
        <v/>
      </c>
      <c r="AA14" s="400"/>
      <c r="AB14" s="389" t="str">
        <f t="shared" si="1"/>
        <v/>
      </c>
      <c r="AC14" s="389"/>
      <c r="AD14" s="389" t="str">
        <f t="shared" si="2"/>
        <v/>
      </c>
      <c r="AE14" s="390"/>
      <c r="AH14" s="12" t="b">
        <v>1</v>
      </c>
      <c r="AI14" s="2">
        <f t="shared" si="3"/>
        <v>0</v>
      </c>
      <c r="AJ14" s="2">
        <f t="shared" si="4"/>
        <v>0</v>
      </c>
      <c r="AL14" s="12" t="b">
        <v>1</v>
      </c>
      <c r="AM14" s="2" t="str">
        <f t="shared" si="8"/>
        <v>0.93</v>
      </c>
      <c r="AN14" s="2" t="str">
        <f t="shared" si="9"/>
        <v>0.51</v>
      </c>
      <c r="AP14" s="2" t="e">
        <f t="shared" si="5"/>
        <v>#DIV/0!</v>
      </c>
      <c r="AQ14" s="2" t="e">
        <f t="shared" si="6"/>
        <v>#DIV/0!</v>
      </c>
      <c r="AS14" s="2">
        <f t="shared" si="10"/>
        <v>0</v>
      </c>
      <c r="AT14" s="11" t="str">
        <f t="shared" si="7"/>
        <v>FALSE</v>
      </c>
    </row>
    <row r="15" spans="2:46" s="2" customFormat="1" ht="21.95" customHeight="1" thickBot="1" x14ac:dyDescent="0.2">
      <c r="B15" s="386" t="s">
        <v>119</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 t="shared" ref="AD15" si="11">SUM(AD8:AE14)</f>
        <v>0</v>
      </c>
      <c r="AE15" s="329"/>
      <c r="AH15" s="12"/>
      <c r="AL15" s="12"/>
      <c r="AT15" s="11"/>
    </row>
    <row r="16" spans="2:46" s="2" customFormat="1" ht="21.75" customHeight="1" x14ac:dyDescent="0.15">
      <c r="L16" s="34"/>
      <c r="AS16" s="259"/>
      <c r="AT16" s="259"/>
    </row>
    <row r="17" spans="12:46" s="2" customFormat="1" ht="21.95" customHeight="1" thickBot="1" x14ac:dyDescent="0.2">
      <c r="L17" s="4" t="s">
        <v>69</v>
      </c>
      <c r="M17" s="4"/>
      <c r="N17" s="4"/>
      <c r="P17" s="4"/>
    </row>
    <row r="18" spans="12:46"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46"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46"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46"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46"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46" s="2" customFormat="1" ht="21.95" customHeight="1" thickBot="1" x14ac:dyDescent="0.2">
      <c r="L23" s="247" t="s">
        <v>120</v>
      </c>
      <c r="M23" s="248"/>
      <c r="N23" s="248"/>
      <c r="O23" s="248"/>
      <c r="P23" s="248"/>
      <c r="Q23" s="248"/>
      <c r="R23" s="248"/>
      <c r="S23" s="248"/>
      <c r="T23" s="248"/>
      <c r="U23" s="248"/>
      <c r="V23" s="248"/>
      <c r="W23" s="248"/>
      <c r="X23" s="248"/>
      <c r="Y23" s="249"/>
      <c r="Z23" s="327">
        <f>SUM(Z21:AA22)</f>
        <v>0</v>
      </c>
      <c r="AA23" s="330"/>
      <c r="AB23" s="327">
        <f t="shared" ref="AB23" si="12">SUM(AB21:AC22)</f>
        <v>0</v>
      </c>
      <c r="AC23" s="330"/>
      <c r="AD23" s="327">
        <f t="shared" ref="AD23" si="13">SUM(AD21:AE22)</f>
        <v>0</v>
      </c>
      <c r="AE23" s="329"/>
      <c r="AH23" s="12"/>
      <c r="AT23" s="11"/>
    </row>
    <row r="24" spans="12:46" s="2" customFormat="1" ht="21.75" customHeight="1" x14ac:dyDescent="0.15">
      <c r="L24" s="34"/>
      <c r="AT24" s="11"/>
    </row>
    <row r="25" spans="12:46" s="2" customFormat="1" ht="21.95" customHeight="1" thickBot="1" x14ac:dyDescent="0.2">
      <c r="L25" s="4" t="s">
        <v>61</v>
      </c>
      <c r="M25" s="4"/>
      <c r="N25" s="4"/>
      <c r="O25" s="4"/>
      <c r="P25" s="4"/>
      <c r="AL25" s="12"/>
      <c r="AM25" s="12"/>
      <c r="AN25" s="12"/>
      <c r="AO25" s="12"/>
      <c r="AP25" s="12"/>
      <c r="AT25" s="11"/>
    </row>
    <row r="26" spans="12:46"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46"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row>
    <row r="28" spans="12:46"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46" s="2" customFormat="1" ht="21.95" customHeight="1" x14ac:dyDescent="0.15">
      <c r="L29" s="297"/>
      <c r="M29" s="298"/>
      <c r="N29" s="250"/>
      <c r="O29" s="251"/>
      <c r="P29" s="250"/>
      <c r="Q29" s="251"/>
      <c r="R29" s="453" t="str">
        <f>IF(N29="","",N29-P29)</f>
        <v/>
      </c>
      <c r="S29" s="454"/>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46" s="2" customFormat="1" ht="21.95" customHeight="1" x14ac:dyDescent="0.15">
      <c r="L30" s="295"/>
      <c r="M30" s="296"/>
      <c r="N30" s="289"/>
      <c r="O30" s="290"/>
      <c r="P30" s="289"/>
      <c r="Q30" s="290"/>
      <c r="R30" s="335" t="str">
        <f>IF(N30="","",N30-P30)</f>
        <v/>
      </c>
      <c r="S30" s="336"/>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46" s="2" customFormat="1" ht="21.95" customHeight="1" x14ac:dyDescent="0.15">
      <c r="L31" s="295"/>
      <c r="M31" s="296"/>
      <c r="N31" s="289"/>
      <c r="O31" s="290"/>
      <c r="P31" s="289"/>
      <c r="Q31" s="290"/>
      <c r="R31" s="335" t="str">
        <f>IF(N31="","",N31-P31)</f>
        <v/>
      </c>
      <c r="S31" s="336"/>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46" s="2" customFormat="1" ht="21.95" customHeight="1" x14ac:dyDescent="0.15">
      <c r="L32" s="295"/>
      <c r="M32" s="296"/>
      <c r="N32" s="289"/>
      <c r="O32" s="290"/>
      <c r="P32" s="289"/>
      <c r="Q32" s="290"/>
      <c r="R32" s="335" t="str">
        <f>IF(N32="","",N32-P32)</f>
        <v/>
      </c>
      <c r="S32" s="336"/>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333" t="str">
        <f>IF(N33="","",N33-P33)</f>
        <v/>
      </c>
      <c r="S33" s="334"/>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121</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 t="shared" ref="AD34" si="14">SUM(AD29:AE33)</f>
        <v>0</v>
      </c>
      <c r="AE34" s="332"/>
      <c r="AH34" s="12"/>
      <c r="AO34" s="12"/>
      <c r="AP34" s="12"/>
    </row>
    <row r="35" spans="2:42"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2" s="2" customFormat="1" ht="21.75" customHeight="1" thickBot="1" x14ac:dyDescent="0.2">
      <c r="L36" s="4" t="s">
        <v>233</v>
      </c>
      <c r="U36" s="4"/>
      <c r="V36" s="4"/>
      <c r="X36" s="4"/>
    </row>
    <row r="37" spans="2:42"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row>
    <row r="38" spans="2:42"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row>
    <row r="39" spans="2:42"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row>
    <row r="40" spans="2:42"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row>
    <row r="41" spans="2:42"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row>
    <row r="42" spans="2:42" s="2" customFormat="1" ht="21.75" customHeight="1" thickBot="1" x14ac:dyDescent="0.2">
      <c r="L42" s="247" t="s">
        <v>248</v>
      </c>
      <c r="M42" s="248"/>
      <c r="N42" s="248"/>
      <c r="O42" s="248"/>
      <c r="P42" s="248"/>
      <c r="Q42" s="248"/>
      <c r="R42" s="248"/>
      <c r="S42" s="248"/>
      <c r="T42" s="248"/>
      <c r="U42" s="248"/>
      <c r="V42" s="248"/>
      <c r="W42" s="248"/>
      <c r="X42" s="248"/>
      <c r="Y42" s="248"/>
      <c r="Z42" s="248"/>
      <c r="AA42" s="249"/>
      <c r="AB42" s="327">
        <f>SUM(AB40:AB41)</f>
        <v>0</v>
      </c>
      <c r="AC42" s="328"/>
      <c r="AD42" s="328"/>
      <c r="AE42" s="329"/>
    </row>
    <row r="43" spans="2:42"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2" s="2" customFormat="1" ht="21.95" customHeight="1" thickBot="1" x14ac:dyDescent="0.2">
      <c r="B44" s="4" t="s">
        <v>240</v>
      </c>
      <c r="F44" s="4"/>
    </row>
    <row r="45" spans="2:42" s="2" customFormat="1" ht="21.95" customHeight="1" x14ac:dyDescent="0.15">
      <c r="B45" s="339" t="s">
        <v>122</v>
      </c>
      <c r="C45" s="340"/>
      <c r="D45" s="36" t="s">
        <v>31</v>
      </c>
      <c r="E45" s="37"/>
      <c r="F45" s="37"/>
      <c r="G45" s="37"/>
      <c r="H45" s="37"/>
      <c r="I45" s="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342"/>
      <c r="D46" s="38" t="s">
        <v>42</v>
      </c>
      <c r="E46" s="14"/>
      <c r="F46" s="14"/>
      <c r="G46" s="14"/>
      <c r="H46" s="14"/>
      <c r="I46" s="14"/>
      <c r="J46" s="38"/>
      <c r="K46" s="14"/>
      <c r="L46" s="14"/>
      <c r="M46" s="14"/>
      <c r="N46" s="14"/>
      <c r="O46" s="14"/>
      <c r="P46" s="14"/>
      <c r="Q46" s="14"/>
      <c r="R46" s="14"/>
      <c r="S46" s="14"/>
      <c r="T46" s="14"/>
      <c r="U46" s="14"/>
      <c r="V46" s="14"/>
      <c r="W46" s="14"/>
      <c r="X46" s="14"/>
      <c r="Y46" s="14"/>
      <c r="Z46" s="14"/>
      <c r="AA46" s="348">
        <f>$Z$15+$Z$23+$Z$34</f>
        <v>0</v>
      </c>
      <c r="AB46" s="348"/>
      <c r="AC46" s="348"/>
      <c r="AD46" s="302" t="s">
        <v>261</v>
      </c>
      <c r="AE46" s="303"/>
    </row>
    <row r="47" spans="2:42" s="2" customFormat="1" ht="21.95" customHeight="1" x14ac:dyDescent="0.15">
      <c r="B47" s="341"/>
      <c r="C47" s="342"/>
      <c r="D47" s="38" t="s">
        <v>43</v>
      </c>
      <c r="E47" s="14"/>
      <c r="F47" s="14"/>
      <c r="G47" s="14"/>
      <c r="H47" s="14"/>
      <c r="I47" s="14"/>
      <c r="J47" s="38"/>
      <c r="K47" s="14"/>
      <c r="L47" s="14"/>
      <c r="M47" s="14"/>
      <c r="N47" s="14"/>
      <c r="O47" s="14"/>
      <c r="P47" s="14"/>
      <c r="Q47" s="14"/>
      <c r="R47" s="14"/>
      <c r="S47" s="14"/>
      <c r="T47" s="14"/>
      <c r="U47" s="14"/>
      <c r="V47" s="14"/>
      <c r="W47" s="14"/>
      <c r="X47" s="14"/>
      <c r="Y47" s="14"/>
      <c r="Z47" s="14"/>
      <c r="AA47" s="348">
        <f>IF(共通条件・結果!AA7="８地域","-",$AB$15+$AB$23+$AB$34)</f>
        <v>0</v>
      </c>
      <c r="AB47" s="348"/>
      <c r="AC47" s="348"/>
      <c r="AD47" s="302" t="s">
        <v>261</v>
      </c>
      <c r="AE47" s="303"/>
    </row>
    <row r="48" spans="2:42" s="2" customFormat="1" ht="21.95" customHeight="1" thickBot="1" x14ac:dyDescent="0.2">
      <c r="B48" s="343"/>
      <c r="C48" s="344"/>
      <c r="D48" s="35" t="s">
        <v>12</v>
      </c>
      <c r="E48" s="15"/>
      <c r="F48" s="15"/>
      <c r="G48" s="15"/>
      <c r="H48" s="15"/>
      <c r="I48" s="15"/>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c r="AI48" s="22"/>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EeZP6BfTkquSNr7hX3T0W+xyn6K/ljhlouv0zQAuyGXKUC4e47otBw03dgCEOh5FE4DxVj6yBry6Vjxhy5KvpA==" saltValue="SdR64nCuaCQTKWtqy1faHQ==" spinCount="100000" sheet="1" selectLockedCells="1"/>
  <mergeCells count="273">
    <mergeCell ref="AD30:AE30"/>
    <mergeCell ref="L30:M30"/>
    <mergeCell ref="N30:O30"/>
    <mergeCell ref="P30:Q30"/>
    <mergeCell ref="R30:S30"/>
    <mergeCell ref="T30:U30"/>
    <mergeCell ref="V30:W30"/>
    <mergeCell ref="X30:Y30"/>
    <mergeCell ref="Z30:AA30"/>
    <mergeCell ref="AB30:AC30"/>
    <mergeCell ref="AD47:AE47"/>
    <mergeCell ref="AB42:AE42"/>
    <mergeCell ref="Z15:AA15"/>
    <mergeCell ref="AB15:AC15"/>
    <mergeCell ref="AD15:AE15"/>
    <mergeCell ref="B15:Y15"/>
    <mergeCell ref="Z23:AA23"/>
    <mergeCell ref="AB23:AC23"/>
    <mergeCell ref="AD23:AE23"/>
    <mergeCell ref="Z34:AA34"/>
    <mergeCell ref="AB34:AC34"/>
    <mergeCell ref="AD34:AE34"/>
    <mergeCell ref="L34:Y34"/>
    <mergeCell ref="X22:Y22"/>
    <mergeCell ref="Z22:AA22"/>
    <mergeCell ref="AB22:AC22"/>
    <mergeCell ref="AD22:AE22"/>
    <mergeCell ref="X21:Y21"/>
    <mergeCell ref="Z21:AA21"/>
    <mergeCell ref="AB21:AC21"/>
    <mergeCell ref="AD21:AE21"/>
    <mergeCell ref="S45:T45"/>
    <mergeCell ref="W45:X45"/>
    <mergeCell ref="AD46:AE46"/>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L8:M8"/>
    <mergeCell ref="AB9:AC9"/>
    <mergeCell ref="AD9:AE9"/>
    <mergeCell ref="AI6:AJ6"/>
    <mergeCell ref="AM6:AN6"/>
    <mergeCell ref="AP6:AQ6"/>
    <mergeCell ref="AS6:AT6"/>
    <mergeCell ref="T7:U7"/>
    <mergeCell ref="V7:W7"/>
    <mergeCell ref="X7:Y7"/>
    <mergeCell ref="R9:S9"/>
    <mergeCell ref="T9:U9"/>
    <mergeCell ref="V9:W9"/>
    <mergeCell ref="X9:Y9"/>
    <mergeCell ref="Z9:AA9"/>
    <mergeCell ref="N10:O10"/>
    <mergeCell ref="P10:Q10"/>
    <mergeCell ref="P9:Q9"/>
    <mergeCell ref="Z8:AA8"/>
    <mergeCell ref="AB8:AC8"/>
    <mergeCell ref="AD8:AE8"/>
    <mergeCell ref="B9:C9"/>
    <mergeCell ref="D9:E9"/>
    <mergeCell ref="F9:G9"/>
    <mergeCell ref="H9:I9"/>
    <mergeCell ref="J9:K9"/>
    <mergeCell ref="L9:M9"/>
    <mergeCell ref="N9:O9"/>
    <mergeCell ref="N8:O8"/>
    <mergeCell ref="P8:Q8"/>
    <mergeCell ref="R8:S8"/>
    <mergeCell ref="T8:U8"/>
    <mergeCell ref="V8:W8"/>
    <mergeCell ref="X8:Y8"/>
    <mergeCell ref="B8:C8"/>
    <mergeCell ref="D8:E8"/>
    <mergeCell ref="F8:G8"/>
    <mergeCell ref="H8:I8"/>
    <mergeCell ref="J8:K8"/>
    <mergeCell ref="T11:U11"/>
    <mergeCell ref="V11:W11"/>
    <mergeCell ref="X11:Y11"/>
    <mergeCell ref="Z11:AA11"/>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F10:G10"/>
    <mergeCell ref="H10:I10"/>
    <mergeCell ref="J10:K10"/>
    <mergeCell ref="L10:M10"/>
    <mergeCell ref="Z12:AA12"/>
    <mergeCell ref="AB12:AC12"/>
    <mergeCell ref="AD12:AE12"/>
    <mergeCell ref="B13:C13"/>
    <mergeCell ref="D13:E13"/>
    <mergeCell ref="F13:G13"/>
    <mergeCell ref="H13:I13"/>
    <mergeCell ref="J13:K13"/>
    <mergeCell ref="L13:M13"/>
    <mergeCell ref="N13:O13"/>
    <mergeCell ref="N12:O12"/>
    <mergeCell ref="P12:Q12"/>
    <mergeCell ref="R12:S12"/>
    <mergeCell ref="T12:U12"/>
    <mergeCell ref="V12:W12"/>
    <mergeCell ref="X12:Y12"/>
    <mergeCell ref="B12:C12"/>
    <mergeCell ref="D12:E12"/>
    <mergeCell ref="F12:G12"/>
    <mergeCell ref="H12:I12"/>
    <mergeCell ref="AD18:AE20"/>
    <mergeCell ref="X19:Y20"/>
    <mergeCell ref="Z19:AA20"/>
    <mergeCell ref="AB19:AC20"/>
    <mergeCell ref="AI19:AJ19"/>
    <mergeCell ref="AS19:AT19"/>
    <mergeCell ref="AD14:AE14"/>
    <mergeCell ref="X18:AC18"/>
    <mergeCell ref="J12:K12"/>
    <mergeCell ref="L12:M12"/>
    <mergeCell ref="AB13:AC13"/>
    <mergeCell ref="AD13:AE13"/>
    <mergeCell ref="R13:S13"/>
    <mergeCell ref="T13:U13"/>
    <mergeCell ref="V13:W13"/>
    <mergeCell ref="X13:Y13"/>
    <mergeCell ref="Z13:AA13"/>
    <mergeCell ref="P13:Q13"/>
    <mergeCell ref="B14:C14"/>
    <mergeCell ref="D14:E14"/>
    <mergeCell ref="F14:G14"/>
    <mergeCell ref="H14:I14"/>
    <mergeCell ref="J14:K14"/>
    <mergeCell ref="L14:M14"/>
    <mergeCell ref="N14:O14"/>
    <mergeCell ref="P14:Q14"/>
    <mergeCell ref="AS16:AT16"/>
    <mergeCell ref="R14:S14"/>
    <mergeCell ref="T14:U14"/>
    <mergeCell ref="V14:W14"/>
    <mergeCell ref="X14:Y14"/>
    <mergeCell ref="Z14:AA14"/>
    <mergeCell ref="AB14:AC14"/>
    <mergeCell ref="AI27:AJ27"/>
    <mergeCell ref="L26:M28"/>
    <mergeCell ref="N26:O28"/>
    <mergeCell ref="P26:Q28"/>
    <mergeCell ref="R26:S28"/>
    <mergeCell ref="T26:U28"/>
    <mergeCell ref="V26:W28"/>
    <mergeCell ref="X29:Y29"/>
    <mergeCell ref="Z29:AA29"/>
    <mergeCell ref="AB29:AC29"/>
    <mergeCell ref="AD29:AE29"/>
    <mergeCell ref="L29:M29"/>
    <mergeCell ref="N29:O29"/>
    <mergeCell ref="P29:Q29"/>
    <mergeCell ref="R29:S29"/>
    <mergeCell ref="T29:U29"/>
    <mergeCell ref="V29:W29"/>
    <mergeCell ref="X26:AC26"/>
    <mergeCell ref="AD26:AE28"/>
    <mergeCell ref="X27:Y28"/>
    <mergeCell ref="Z27:AA28"/>
    <mergeCell ref="AB27:AC28"/>
    <mergeCell ref="AD31:AE31"/>
    <mergeCell ref="L32:M32"/>
    <mergeCell ref="N32:O32"/>
    <mergeCell ref="P32:Q32"/>
    <mergeCell ref="R32:S32"/>
    <mergeCell ref="T32:U32"/>
    <mergeCell ref="V32:W32"/>
    <mergeCell ref="X33:Y33"/>
    <mergeCell ref="Z33:AA33"/>
    <mergeCell ref="AB33:AC33"/>
    <mergeCell ref="AD33:AE33"/>
    <mergeCell ref="L31:M31"/>
    <mergeCell ref="N31:O31"/>
    <mergeCell ref="P31:Q31"/>
    <mergeCell ref="R31:S31"/>
    <mergeCell ref="T31:U31"/>
    <mergeCell ref="V31:W31"/>
    <mergeCell ref="X31:Y31"/>
    <mergeCell ref="Z31:AA31"/>
    <mergeCell ref="AB31:AC31"/>
    <mergeCell ref="X32:Y32"/>
    <mergeCell ref="Z32:AA32"/>
    <mergeCell ref="AB32:AC32"/>
    <mergeCell ref="AD32:AE32"/>
    <mergeCell ref="AA48:AC48"/>
    <mergeCell ref="B45:C48"/>
    <mergeCell ref="AC45:AD45"/>
    <mergeCell ref="AA46:AC46"/>
    <mergeCell ref="AA47:AC47"/>
    <mergeCell ref="L37:M39"/>
    <mergeCell ref="N37:S38"/>
    <mergeCell ref="T37:W39"/>
    <mergeCell ref="X37:AA39"/>
    <mergeCell ref="AB37:AE39"/>
    <mergeCell ref="N39:P39"/>
    <mergeCell ref="Q39:S39"/>
    <mergeCell ref="N40:P40"/>
    <mergeCell ref="Q40:S40"/>
    <mergeCell ref="X41:AA41"/>
    <mergeCell ref="AB41:AE41"/>
    <mergeCell ref="L42:AA42"/>
    <mergeCell ref="J45:L45"/>
    <mergeCell ref="O45:P45"/>
    <mergeCell ref="T40:W40"/>
    <mergeCell ref="X40:AA40"/>
    <mergeCell ref="AB40:AE40"/>
    <mergeCell ref="N41:P41"/>
    <mergeCell ref="Q41:S41"/>
    <mergeCell ref="T41:W41"/>
    <mergeCell ref="L40:M40"/>
    <mergeCell ref="L41:M41"/>
    <mergeCell ref="L33:M33"/>
    <mergeCell ref="N33:O33"/>
    <mergeCell ref="P33:Q33"/>
    <mergeCell ref="R33:S33"/>
    <mergeCell ref="T33:U33"/>
    <mergeCell ref="V33:W33"/>
    <mergeCell ref="L22:M22"/>
    <mergeCell ref="N22:O22"/>
    <mergeCell ref="P22:Q22"/>
    <mergeCell ref="R22:S22"/>
    <mergeCell ref="T22:U22"/>
    <mergeCell ref="V22:W22"/>
    <mergeCell ref="L23:Y23"/>
    <mergeCell ref="L18:M20"/>
    <mergeCell ref="N18:Q19"/>
    <mergeCell ref="R18:S20"/>
    <mergeCell ref="T18:U20"/>
    <mergeCell ref="V18:W20"/>
    <mergeCell ref="N20:O20"/>
    <mergeCell ref="P20:Q20"/>
    <mergeCell ref="L21:M21"/>
    <mergeCell ref="N21:O21"/>
    <mergeCell ref="P21:Q21"/>
    <mergeCell ref="R21:S21"/>
    <mergeCell ref="T21:U21"/>
    <mergeCell ref="V21:W21"/>
  </mergeCells>
  <phoneticPr fontId="4"/>
  <conditionalFormatting sqref="B8:Y14">
    <cfRule type="expression" dxfId="70" priority="183" stopIfTrue="1">
      <formula>$AH$3&lt;&gt;2</formula>
    </cfRule>
  </conditionalFormatting>
  <conditionalFormatting sqref="J45">
    <cfRule type="expression" dxfId="69" priority="1288" stopIfTrue="1">
      <formula>$J$45=0</formula>
    </cfRule>
  </conditionalFormatting>
  <conditionalFormatting sqref="J45:L45">
    <cfRule type="expression" dxfId="68" priority="359">
      <formula>$AH$3&lt;&gt;2</formula>
    </cfRule>
  </conditionalFormatting>
  <conditionalFormatting sqref="L29:Q33">
    <cfRule type="expression" dxfId="67" priority="101" stopIfTrue="1">
      <formula>$AH$3&lt;&gt;2</formula>
    </cfRule>
  </conditionalFormatting>
  <conditionalFormatting sqref="L21:Y22">
    <cfRule type="expression" dxfId="66" priority="155" stopIfTrue="1">
      <formula>$AH$3&lt;&gt;2</formula>
    </cfRule>
  </conditionalFormatting>
  <conditionalFormatting sqref="L40:AA41">
    <cfRule type="expression" dxfId="65" priority="63" stopIfTrue="1">
      <formula>$AH$3&lt;&gt;2</formula>
    </cfRule>
  </conditionalFormatting>
  <conditionalFormatting sqref="O45:P45">
    <cfRule type="expression" dxfId="64" priority="358">
      <formula>$AH$3&lt;&gt;2</formula>
    </cfRule>
    <cfRule type="expression" dxfId="63" priority="1289" stopIfTrue="1">
      <formula>$O$45=0</formula>
    </cfRule>
  </conditionalFormatting>
  <conditionalFormatting sqref="R29:S33">
    <cfRule type="expression" dxfId="62" priority="11">
      <formula>$AH$3&lt;&gt;2</formula>
    </cfRule>
  </conditionalFormatting>
  <conditionalFormatting sqref="S45:T45">
    <cfRule type="expression" dxfId="61" priority="357">
      <formula>$AH$3&lt;&gt;2</formula>
    </cfRule>
    <cfRule type="expression" dxfId="60" priority="1287" stopIfTrue="1">
      <formula>$S$45=0</formula>
    </cfRule>
  </conditionalFormatting>
  <conditionalFormatting sqref="T8:Y14">
    <cfRule type="expression" dxfId="59" priority="351">
      <formula>$AL8=TRUE</formula>
    </cfRule>
  </conditionalFormatting>
  <conditionalFormatting sqref="T29:Y33">
    <cfRule type="expression" dxfId="58" priority="95" stopIfTrue="1">
      <formula>$AH$3&lt;&gt;2</formula>
    </cfRule>
  </conditionalFormatting>
  <conditionalFormatting sqref="W45:X45">
    <cfRule type="expression" dxfId="57" priority="356">
      <formula>$AH$3&lt;&gt;2</formula>
    </cfRule>
  </conditionalFormatting>
  <conditionalFormatting sqref="Z4:AC4">
    <cfRule type="expression" dxfId="56" priority="61">
      <formula>$AH$3&lt;&gt;2</formula>
    </cfRule>
  </conditionalFormatting>
  <conditionalFormatting sqref="Z8:AE15">
    <cfRule type="expression" dxfId="55" priority="37">
      <formula>$AH$3&lt;&gt;2</formula>
    </cfRule>
  </conditionalFormatting>
  <conditionalFormatting sqref="Z21:AE23">
    <cfRule type="expression" dxfId="54" priority="28">
      <formula>$AH$3&lt;&gt;2</formula>
    </cfRule>
  </conditionalFormatting>
  <conditionalFormatting sqref="Z29:AE34">
    <cfRule type="expression" dxfId="53" priority="5">
      <formula>$AH$3&lt;&gt;2</formula>
    </cfRule>
  </conditionalFormatting>
  <conditionalFormatting sqref="AA46:AC48">
    <cfRule type="expression" dxfId="52" priority="1">
      <formula>$AH$3&lt;&gt;2</formula>
    </cfRule>
  </conditionalFormatting>
  <conditionalFormatting sqref="AB40:AE41">
    <cfRule type="expression" dxfId="51" priority="3">
      <formula>$AH$3&lt;&gt;2</formula>
    </cfRule>
  </conditionalFormatting>
  <conditionalFormatting sqref="AC45:AD45">
    <cfRule type="expression" dxfId="50" priority="355">
      <formula>$AH$3&lt;&gt;2</formula>
    </cfRule>
  </conditionalFormatting>
  <conditionalFormatting sqref="AE8:AE14">
    <cfRule type="expression" dxfId="49" priority="395">
      <formula>$AH$3&lt;&gt;2</formula>
    </cfRule>
  </conditionalFormatting>
  <conditionalFormatting sqref="AE40:AE42">
    <cfRule type="expression" dxfId="48" priority="360">
      <formula>$AH$3&lt;&gt;2</formula>
    </cfRule>
  </conditionalFormatting>
  <dataValidations count="3">
    <dataValidation type="list" showInputMessage="1" showErrorMessage="1" sqref="V29:W33 X40:X41 P8:Q14 V21:W22" xr:uid="{00000000-0002-0000-0700-000000000000}">
      <formula1>"1.0,0.7,0.05,0.15,0"</formula1>
    </dataValidation>
    <dataValidation type="list" allowBlank="1" showInputMessage="1" showErrorMessage="1" sqref="N8:N14 T21:T22" xr:uid="{00000000-0002-0000-0700-000001000000}">
      <formula1>"　,雨戸,ｼｬｯﾀｰ,障子,風除室"</formula1>
    </dataValidation>
    <dataValidation type="list" allowBlank="1" showInputMessage="1" showErrorMessage="1" sqref="T40:T41" xr:uid="{00000000-0002-0000-07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2577"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52578"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52579"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52580"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52581"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52582"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52583"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52584"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52585"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52586"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52587"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52588"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52589"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2590"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52591"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2592"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52593"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52594"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52595"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52596"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52597"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52612" r:id="rId25" name="Check Box 36">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2613" r:id="rId26" name="Check Box 37">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2614" r:id="rId27" name="Check Box 38">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AX110"/>
  <sheetViews>
    <sheetView workbookViewId="0"/>
  </sheetViews>
  <sheetFormatPr defaultRowHeight="13.5" x14ac:dyDescent="0.15"/>
  <cols>
    <col min="1" max="1" width="0.875" customWidth="1"/>
    <col min="2" max="31" width="3.875" customWidth="1"/>
    <col min="32" max="32" width="3" customWidth="1"/>
    <col min="33" max="33" width="3.875" hidden="1" customWidth="1"/>
    <col min="34" max="34" width="10.125" hidden="1" customWidth="1"/>
    <col min="35" max="35" width="8.375" hidden="1" customWidth="1"/>
    <col min="36" max="36" width="6.875" hidden="1" customWidth="1"/>
    <col min="37" max="37" width="10.625" hidden="1" customWidth="1"/>
    <col min="38" max="38" width="6" hidden="1" customWidth="1"/>
    <col min="39" max="40" width="6.875" hidden="1" customWidth="1"/>
    <col min="41" max="41" width="10.625" hidden="1" customWidth="1"/>
    <col min="42" max="43" width="7.625" hidden="1" customWidth="1"/>
    <col min="44" max="44" width="10.625" hidden="1" customWidth="1"/>
    <col min="45" max="45" width="3.5" hidden="1" customWidth="1"/>
    <col min="46" max="46" width="6.75" hidden="1" customWidth="1"/>
    <col min="47" max="47" width="3.5" customWidth="1"/>
    <col min="48" max="48" width="3.625" customWidth="1"/>
    <col min="49" max="50" width="4.625" customWidth="1"/>
  </cols>
  <sheetData>
    <row r="1" spans="2:46" ht="5.0999999999999996" customHeight="1" x14ac:dyDescent="0.15"/>
    <row r="2" spans="2:46" s="1" customFormat="1" ht="30" customHeight="1" x14ac:dyDescent="0.15">
      <c r="B2" s="421" t="s">
        <v>123</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H2" s="140" t="s">
        <v>376</v>
      </c>
    </row>
    <row r="3" spans="2:46" s="2" customFormat="1" ht="24.95" customHeight="1" thickBot="1" x14ac:dyDescent="0.2">
      <c r="AH3" s="147">
        <f>共通条件・結果!AH3</f>
        <v>1</v>
      </c>
    </row>
    <row r="4" spans="2:46" s="2" customFormat="1" ht="21.95" customHeight="1" thickBot="1" x14ac:dyDescent="0.2">
      <c r="B4" s="4" t="s">
        <v>129</v>
      </c>
      <c r="D4" s="4"/>
      <c r="F4" s="4"/>
      <c r="V4" s="426" t="s">
        <v>24</v>
      </c>
      <c r="W4" s="427"/>
      <c r="X4" s="427"/>
      <c r="Y4" s="427"/>
      <c r="Z4" s="428">
        <f>IF(共通条件・結果!AA7="８地域","0.411",IF(共通条件・結果!AA7="７地域",0.406,IF(共通条件・結果!AA7="６地域",0.427,IF(共通条件・結果!AA7="５地域",0.442,IF(共通条件・結果!AA7="４地域",0.401,IF(共通条件・結果!AA7="３地域",0.447,IF(共通条件・結果!AA7="２地域",0.428,IF(共通条件・結果!AA7="１地域",0.411))))))))</f>
        <v>0.44700000000000001</v>
      </c>
      <c r="AA4" s="429"/>
      <c r="AB4" s="430">
        <f>IF(共通条件・結果!AA7="８地域","-",IF(共通条件・結果!AA7="７地域",0.284,IF(共通条件・結果!AA7="６地域",0.317,IF(共通条件・結果!AA7="５地域",0.297,IF(共通条件・結果!AA7="４地域",0.326,IF(共通条件・結果!AA7="３地域",0.351,IF(共通条件・結果!AA7="２地域",0.341,IF(共通条件・結果!AA7="１地域",0.325))))))))</f>
        <v>0.35099999999999998</v>
      </c>
      <c r="AC4" s="431"/>
    </row>
    <row r="5" spans="2:46" s="2" customFormat="1" ht="21.95" customHeight="1" x14ac:dyDescent="0.15">
      <c r="B5" s="257" t="s">
        <v>3</v>
      </c>
      <c r="C5" s="263"/>
      <c r="D5" s="227" t="s">
        <v>283</v>
      </c>
      <c r="E5" s="227"/>
      <c r="F5" s="227"/>
      <c r="G5" s="227"/>
      <c r="H5" s="267" t="s">
        <v>284</v>
      </c>
      <c r="I5" s="227"/>
      <c r="J5" s="277" t="s">
        <v>149</v>
      </c>
      <c r="K5" s="349"/>
      <c r="L5" s="349"/>
      <c r="M5" s="278"/>
      <c r="N5" s="267" t="s">
        <v>6</v>
      </c>
      <c r="O5" s="227"/>
      <c r="P5" s="267" t="s">
        <v>60</v>
      </c>
      <c r="Q5" s="227"/>
      <c r="R5" s="413" t="s">
        <v>41</v>
      </c>
      <c r="S5" s="346"/>
      <c r="T5" s="346"/>
      <c r="U5" s="346"/>
      <c r="V5" s="346"/>
      <c r="W5" s="346"/>
      <c r="X5" s="346"/>
      <c r="Y5" s="346"/>
      <c r="Z5" s="267" t="s">
        <v>285</v>
      </c>
      <c r="AA5" s="227"/>
      <c r="AB5" s="267" t="s">
        <v>286</v>
      </c>
      <c r="AC5" s="227"/>
      <c r="AD5" s="267" t="s">
        <v>266</v>
      </c>
      <c r="AE5" s="228"/>
    </row>
    <row r="6" spans="2:46" s="2" customFormat="1" ht="21.95" customHeight="1" x14ac:dyDescent="0.15">
      <c r="B6" s="258"/>
      <c r="C6" s="352"/>
      <c r="D6" s="422" t="s">
        <v>5</v>
      </c>
      <c r="E6" s="423"/>
      <c r="F6" s="432" t="s">
        <v>4</v>
      </c>
      <c r="G6" s="433"/>
      <c r="H6" s="269"/>
      <c r="I6" s="269"/>
      <c r="J6" s="279" t="s">
        <v>148</v>
      </c>
      <c r="K6" s="280"/>
      <c r="L6" s="382" t="s">
        <v>174</v>
      </c>
      <c r="M6" s="383"/>
      <c r="N6" s="268"/>
      <c r="O6" s="269"/>
      <c r="P6" s="268"/>
      <c r="Q6" s="269"/>
      <c r="R6" s="382" t="s">
        <v>40</v>
      </c>
      <c r="S6" s="416"/>
      <c r="T6" s="418" t="s">
        <v>287</v>
      </c>
      <c r="U6" s="419"/>
      <c r="V6" s="419"/>
      <c r="W6" s="419"/>
      <c r="X6" s="419"/>
      <c r="Y6" s="420"/>
      <c r="Z6" s="268"/>
      <c r="AA6" s="269"/>
      <c r="AB6" s="268"/>
      <c r="AC6" s="269"/>
      <c r="AD6" s="269"/>
      <c r="AE6" s="414"/>
      <c r="AI6" s="259" t="s">
        <v>44</v>
      </c>
      <c r="AJ6" s="259"/>
      <c r="AK6" s="11"/>
      <c r="AL6" s="11"/>
      <c r="AM6" s="259" t="s">
        <v>9</v>
      </c>
      <c r="AN6" s="259"/>
      <c r="AO6" s="11"/>
      <c r="AP6" s="259" t="s">
        <v>45</v>
      </c>
      <c r="AQ6" s="259"/>
      <c r="AS6" s="259" t="s">
        <v>58</v>
      </c>
      <c r="AT6" s="259"/>
    </row>
    <row r="7" spans="2:46" s="2" customFormat="1" ht="21.95" customHeight="1" thickBot="1" x14ac:dyDescent="0.2">
      <c r="B7" s="260"/>
      <c r="C7" s="353"/>
      <c r="D7" s="424"/>
      <c r="E7" s="425"/>
      <c r="F7" s="434"/>
      <c r="G7" s="353"/>
      <c r="H7" s="270"/>
      <c r="I7" s="270"/>
      <c r="J7" s="281"/>
      <c r="K7" s="282"/>
      <c r="L7" s="281"/>
      <c r="M7" s="282"/>
      <c r="N7" s="270"/>
      <c r="O7" s="270"/>
      <c r="P7" s="270"/>
      <c r="Q7" s="270"/>
      <c r="R7" s="281"/>
      <c r="S7" s="417"/>
      <c r="T7" s="353" t="s">
        <v>7</v>
      </c>
      <c r="U7" s="313"/>
      <c r="V7" s="411" t="s">
        <v>8</v>
      </c>
      <c r="W7" s="412"/>
      <c r="X7" s="353" t="s">
        <v>1</v>
      </c>
      <c r="Y7" s="313"/>
      <c r="Z7" s="270"/>
      <c r="AA7" s="270"/>
      <c r="AB7" s="270"/>
      <c r="AC7" s="270"/>
      <c r="AD7" s="270"/>
      <c r="AE7" s="415"/>
      <c r="AH7" s="11" t="s">
        <v>130</v>
      </c>
      <c r="AI7" s="11" t="s">
        <v>2</v>
      </c>
      <c r="AJ7" s="11" t="s">
        <v>11</v>
      </c>
      <c r="AK7" s="11"/>
      <c r="AL7" s="11"/>
      <c r="AM7" s="11" t="s">
        <v>2</v>
      </c>
      <c r="AN7" s="11" t="s">
        <v>11</v>
      </c>
      <c r="AO7" s="11"/>
      <c r="AP7" s="11" t="s">
        <v>2</v>
      </c>
      <c r="AQ7" s="11" t="s">
        <v>11</v>
      </c>
      <c r="AS7" s="2" t="s">
        <v>56</v>
      </c>
      <c r="AT7" s="2" t="s">
        <v>54</v>
      </c>
    </row>
    <row r="8" spans="2:46" s="2" customFormat="1" ht="21.95" customHeight="1" x14ac:dyDescent="0.15">
      <c r="B8" s="285"/>
      <c r="C8" s="251"/>
      <c r="D8" s="493"/>
      <c r="E8" s="494"/>
      <c r="F8" s="291"/>
      <c r="G8" s="290"/>
      <c r="H8" s="289"/>
      <c r="I8" s="290"/>
      <c r="J8" s="293"/>
      <c r="K8" s="294"/>
      <c r="L8" s="289"/>
      <c r="M8" s="290"/>
      <c r="N8" s="245"/>
      <c r="O8" s="246"/>
      <c r="P8" s="409"/>
      <c r="Q8" s="410"/>
      <c r="R8" s="461"/>
      <c r="S8" s="462"/>
      <c r="T8" s="446"/>
      <c r="U8" s="447"/>
      <c r="V8" s="446"/>
      <c r="W8" s="448"/>
      <c r="X8" s="449"/>
      <c r="Y8" s="450"/>
      <c r="Z8" s="441" t="str">
        <f t="shared" ref="Z8:Z14" si="0">IF(D8="","",AI8)</f>
        <v/>
      </c>
      <c r="AA8" s="441"/>
      <c r="AB8" s="441" t="str">
        <f t="shared" ref="AB8:AB14" si="1">IF(D8="","",IF(ISERROR(AJ8),"-",AJ8))</f>
        <v/>
      </c>
      <c r="AC8" s="441"/>
      <c r="AD8" s="442" t="str">
        <f t="shared" ref="AD8:AD14" si="2">IF(D8="","",D8*F8*AS8*P8)</f>
        <v/>
      </c>
      <c r="AE8" s="443"/>
      <c r="AH8" s="12" t="b">
        <v>1</v>
      </c>
      <c r="AI8" s="2">
        <f t="shared" ref="AI8:AI14" si="3">IF(AH8=FALSE,"0.0",D8*F8*L8*$Z$4*AM8)</f>
        <v>0</v>
      </c>
      <c r="AJ8" s="2">
        <f t="shared" ref="AJ8:AJ14" si="4">IF(AH8=FALSE,"0.0",D8*F8*L8*$AB$4*AN8)</f>
        <v>0</v>
      </c>
      <c r="AL8" s="12" t="b">
        <v>1</v>
      </c>
      <c r="AM8" s="2" t="str">
        <f>IF(AL8=TRUE,"0.93",IF(ISERROR(AP8),"エラー",IF(AP8&gt;0.93,"0.93",AP8)))</f>
        <v>0.93</v>
      </c>
      <c r="AN8" s="2" t="str">
        <f>IF(AL8=TRUE,"0.51",IF(ISERROR(AQ8),"エラー",IF(AQ8&gt;0.72,"0.72",AQ8)))</f>
        <v>0.51</v>
      </c>
      <c r="AP8" s="2" t="e">
        <f t="shared" ref="AP8:AP14" si="5">0.01*(16+24*(2*V8+X8)/T8)</f>
        <v>#DIV/0!</v>
      </c>
      <c r="AQ8" s="2" t="e">
        <f t="shared" ref="AQ8:AQ14" si="6">0.01*(10+15*(2*V8+X8)/T8)</f>
        <v>#DIV/0!</v>
      </c>
      <c r="AS8" s="2">
        <f>IF(AT8="FALSE",H8,IF(N8="風除室",1/((1/H8)+0.1),0.5*H8+0.5*(1/((1/H8)+AT8))))</f>
        <v>0</v>
      </c>
      <c r="AT8" s="11" t="str">
        <f t="shared" ref="AT8:AT14" si="7">IF(N8="","FALSE",IF(N8="雨戸",0.1,IF(N8="ｼｬｯﾀｰ",0.1,IF(N8="障子",0.18,IF(N8="風除室",0.1)))))</f>
        <v>FALSE</v>
      </c>
    </row>
    <row r="9" spans="2:46" s="2" customFormat="1" ht="21.95" customHeight="1" x14ac:dyDescent="0.15">
      <c r="B9" s="492"/>
      <c r="C9" s="290"/>
      <c r="D9" s="493"/>
      <c r="E9" s="494"/>
      <c r="F9" s="291"/>
      <c r="G9" s="290"/>
      <c r="H9" s="289"/>
      <c r="I9" s="290"/>
      <c r="J9" s="293"/>
      <c r="K9" s="294"/>
      <c r="L9" s="289"/>
      <c r="M9" s="290"/>
      <c r="N9" s="245"/>
      <c r="O9" s="246"/>
      <c r="P9" s="409"/>
      <c r="Q9" s="410"/>
      <c r="R9" s="293"/>
      <c r="S9" s="460"/>
      <c r="T9" s="404"/>
      <c r="U9" s="405"/>
      <c r="V9" s="404"/>
      <c r="W9" s="406"/>
      <c r="X9" s="407"/>
      <c r="Y9" s="408"/>
      <c r="Z9" s="365" t="str">
        <f t="shared" si="0"/>
        <v/>
      </c>
      <c r="AA9" s="365"/>
      <c r="AB9" s="365" t="str">
        <f t="shared" si="1"/>
        <v/>
      </c>
      <c r="AC9" s="365"/>
      <c r="AD9" s="365" t="str">
        <f t="shared" si="2"/>
        <v/>
      </c>
      <c r="AE9" s="403"/>
      <c r="AH9" s="12" t="b">
        <v>1</v>
      </c>
      <c r="AI9" s="2">
        <f t="shared" si="3"/>
        <v>0</v>
      </c>
      <c r="AJ9" s="2">
        <f t="shared" si="4"/>
        <v>0</v>
      </c>
      <c r="AL9" s="12" t="b">
        <v>1</v>
      </c>
      <c r="AM9" s="2" t="str">
        <f t="shared" ref="AM9:AM14" si="8">IF(AL9=TRUE,"0.93",IF(ISERROR(AP9),"エラー",IF(AP9&gt;0.93,"0.93",AP9)))</f>
        <v>0.93</v>
      </c>
      <c r="AN9" s="2" t="str">
        <f t="shared" ref="AN9:AN14" si="9">IF(AL9=TRUE,"0.51",IF(ISERROR(AQ9),"エラー",IF(AQ9&gt;0.72,"0.72",AQ9)))</f>
        <v>0.51</v>
      </c>
      <c r="AP9" s="2" t="e">
        <f t="shared" si="5"/>
        <v>#DIV/0!</v>
      </c>
      <c r="AQ9" s="2" t="e">
        <f t="shared" si="6"/>
        <v>#DIV/0!</v>
      </c>
      <c r="AS9" s="2">
        <f t="shared" ref="AS9:AS14" si="10">IF(AT9="FALSE",H9,IF(N9="風除室",1/((1/H9)+0.1),0.5*H9+0.5*(1/((1/H9)+AT9))))</f>
        <v>0</v>
      </c>
      <c r="AT9" s="11" t="str">
        <f t="shared" si="7"/>
        <v>FALSE</v>
      </c>
    </row>
    <row r="10" spans="2:46" s="2" customFormat="1" ht="21.95" customHeight="1" x14ac:dyDescent="0.15">
      <c r="B10" s="492"/>
      <c r="C10" s="290"/>
      <c r="D10" s="493"/>
      <c r="E10" s="494"/>
      <c r="F10" s="291"/>
      <c r="G10" s="290"/>
      <c r="H10" s="289"/>
      <c r="I10" s="290"/>
      <c r="J10" s="293"/>
      <c r="K10" s="294"/>
      <c r="L10" s="289"/>
      <c r="M10" s="290"/>
      <c r="N10" s="245"/>
      <c r="O10" s="246"/>
      <c r="P10" s="409"/>
      <c r="Q10" s="410"/>
      <c r="R10" s="293"/>
      <c r="S10" s="460"/>
      <c r="T10" s="404"/>
      <c r="U10" s="405"/>
      <c r="V10" s="404"/>
      <c r="W10" s="406"/>
      <c r="X10" s="407"/>
      <c r="Y10" s="408"/>
      <c r="Z10" s="365" t="str">
        <f t="shared" si="0"/>
        <v/>
      </c>
      <c r="AA10" s="365"/>
      <c r="AB10" s="365" t="str">
        <f t="shared" si="1"/>
        <v/>
      </c>
      <c r="AC10" s="365"/>
      <c r="AD10" s="365" t="str">
        <f t="shared" si="2"/>
        <v/>
      </c>
      <c r="AE10" s="403"/>
      <c r="AH10" s="12" t="b">
        <v>1</v>
      </c>
      <c r="AI10" s="2">
        <f t="shared" si="3"/>
        <v>0</v>
      </c>
      <c r="AJ10" s="2">
        <f t="shared" si="4"/>
        <v>0</v>
      </c>
      <c r="AL10" s="12" t="b">
        <v>1</v>
      </c>
      <c r="AM10" s="2" t="str">
        <f t="shared" si="8"/>
        <v>0.93</v>
      </c>
      <c r="AN10" s="2" t="str">
        <f t="shared" si="9"/>
        <v>0.51</v>
      </c>
      <c r="AP10" s="2" t="e">
        <f t="shared" si="5"/>
        <v>#DIV/0!</v>
      </c>
      <c r="AQ10" s="2" t="e">
        <f t="shared" si="6"/>
        <v>#DIV/0!</v>
      </c>
      <c r="AS10" s="2">
        <f t="shared" si="10"/>
        <v>0</v>
      </c>
      <c r="AT10" s="11" t="str">
        <f t="shared" si="7"/>
        <v>FALSE</v>
      </c>
    </row>
    <row r="11" spans="2:46" s="2" customFormat="1" ht="21.95" customHeight="1" x14ac:dyDescent="0.15">
      <c r="B11" s="492"/>
      <c r="C11" s="290"/>
      <c r="D11" s="493"/>
      <c r="E11" s="494"/>
      <c r="F11" s="291"/>
      <c r="G11" s="290"/>
      <c r="H11" s="289"/>
      <c r="I11" s="290"/>
      <c r="J11" s="293"/>
      <c r="K11" s="294"/>
      <c r="L11" s="289"/>
      <c r="M11" s="290"/>
      <c r="N11" s="245"/>
      <c r="O11" s="246"/>
      <c r="P11" s="409"/>
      <c r="Q11" s="410"/>
      <c r="R11" s="293"/>
      <c r="S11" s="460"/>
      <c r="T11" s="404"/>
      <c r="U11" s="405"/>
      <c r="V11" s="404"/>
      <c r="W11" s="406"/>
      <c r="X11" s="407"/>
      <c r="Y11" s="408"/>
      <c r="Z11" s="365" t="str">
        <f t="shared" si="0"/>
        <v/>
      </c>
      <c r="AA11" s="365"/>
      <c r="AB11" s="365" t="str">
        <f t="shared" si="1"/>
        <v/>
      </c>
      <c r="AC11" s="365"/>
      <c r="AD11" s="365" t="str">
        <f t="shared" si="2"/>
        <v/>
      </c>
      <c r="AE11" s="403"/>
      <c r="AH11" s="12" t="b">
        <v>1</v>
      </c>
      <c r="AI11" s="2">
        <f t="shared" si="3"/>
        <v>0</v>
      </c>
      <c r="AJ11" s="2">
        <f t="shared" si="4"/>
        <v>0</v>
      </c>
      <c r="AL11" s="12" t="b">
        <v>1</v>
      </c>
      <c r="AM11" s="2" t="str">
        <f t="shared" si="8"/>
        <v>0.93</v>
      </c>
      <c r="AN11" s="2" t="str">
        <f t="shared" si="9"/>
        <v>0.51</v>
      </c>
      <c r="AP11" s="2" t="e">
        <f t="shared" si="5"/>
        <v>#DIV/0!</v>
      </c>
      <c r="AQ11" s="2" t="e">
        <f t="shared" si="6"/>
        <v>#DIV/0!</v>
      </c>
      <c r="AS11" s="2">
        <f t="shared" si="10"/>
        <v>0</v>
      </c>
      <c r="AT11" s="11" t="str">
        <f t="shared" si="7"/>
        <v>FALSE</v>
      </c>
    </row>
    <row r="12" spans="2:46" s="2" customFormat="1" ht="21.95" customHeight="1" x14ac:dyDescent="0.15">
      <c r="B12" s="492"/>
      <c r="C12" s="290"/>
      <c r="D12" s="493"/>
      <c r="E12" s="494"/>
      <c r="F12" s="291"/>
      <c r="G12" s="290"/>
      <c r="H12" s="289"/>
      <c r="I12" s="290"/>
      <c r="J12" s="293"/>
      <c r="K12" s="294"/>
      <c r="L12" s="289"/>
      <c r="M12" s="290"/>
      <c r="N12" s="245"/>
      <c r="O12" s="246"/>
      <c r="P12" s="409"/>
      <c r="Q12" s="410"/>
      <c r="R12" s="293"/>
      <c r="S12" s="460"/>
      <c r="T12" s="404"/>
      <c r="U12" s="405"/>
      <c r="V12" s="404"/>
      <c r="W12" s="406"/>
      <c r="X12" s="407"/>
      <c r="Y12" s="408"/>
      <c r="Z12" s="366" t="str">
        <f t="shared" si="0"/>
        <v/>
      </c>
      <c r="AA12" s="367"/>
      <c r="AB12" s="365" t="str">
        <f t="shared" si="1"/>
        <v/>
      </c>
      <c r="AC12" s="365"/>
      <c r="AD12" s="365" t="str">
        <f t="shared" si="2"/>
        <v/>
      </c>
      <c r="AE12" s="403"/>
      <c r="AH12" s="12" t="b">
        <v>1</v>
      </c>
      <c r="AI12" s="2">
        <f t="shared" si="3"/>
        <v>0</v>
      </c>
      <c r="AJ12" s="2">
        <f t="shared" si="4"/>
        <v>0</v>
      </c>
      <c r="AL12" s="12" t="b">
        <v>1</v>
      </c>
      <c r="AM12" s="2" t="str">
        <f t="shared" si="8"/>
        <v>0.93</v>
      </c>
      <c r="AN12" s="2" t="str">
        <f t="shared" si="9"/>
        <v>0.51</v>
      </c>
      <c r="AP12" s="2" t="e">
        <f t="shared" si="5"/>
        <v>#DIV/0!</v>
      </c>
      <c r="AQ12" s="2" t="e">
        <f t="shared" si="6"/>
        <v>#DIV/0!</v>
      </c>
      <c r="AS12" s="2">
        <f t="shared" si="10"/>
        <v>0</v>
      </c>
      <c r="AT12" s="11" t="str">
        <f t="shared" si="7"/>
        <v>FALSE</v>
      </c>
    </row>
    <row r="13" spans="2:46" s="2" customFormat="1" ht="21.95" customHeight="1" x14ac:dyDescent="0.15">
      <c r="B13" s="492"/>
      <c r="C13" s="290"/>
      <c r="D13" s="493"/>
      <c r="E13" s="494"/>
      <c r="F13" s="291"/>
      <c r="G13" s="290"/>
      <c r="H13" s="289"/>
      <c r="I13" s="290"/>
      <c r="J13" s="293"/>
      <c r="K13" s="294"/>
      <c r="L13" s="289"/>
      <c r="M13" s="290"/>
      <c r="N13" s="245"/>
      <c r="O13" s="246"/>
      <c r="P13" s="409"/>
      <c r="Q13" s="410"/>
      <c r="R13" s="293"/>
      <c r="S13" s="460"/>
      <c r="T13" s="404"/>
      <c r="U13" s="405"/>
      <c r="V13" s="404"/>
      <c r="W13" s="406"/>
      <c r="X13" s="407"/>
      <c r="Y13" s="408"/>
      <c r="Z13" s="366" t="str">
        <f t="shared" si="0"/>
        <v/>
      </c>
      <c r="AA13" s="367"/>
      <c r="AB13" s="365" t="str">
        <f t="shared" si="1"/>
        <v/>
      </c>
      <c r="AC13" s="365"/>
      <c r="AD13" s="365" t="str">
        <f t="shared" si="2"/>
        <v/>
      </c>
      <c r="AE13" s="403"/>
      <c r="AH13" s="12" t="b">
        <v>1</v>
      </c>
      <c r="AI13" s="2">
        <f t="shared" si="3"/>
        <v>0</v>
      </c>
      <c r="AJ13" s="2">
        <f t="shared" si="4"/>
        <v>0</v>
      </c>
      <c r="AL13" s="12" t="b">
        <v>1</v>
      </c>
      <c r="AM13" s="2" t="str">
        <f t="shared" si="8"/>
        <v>0.93</v>
      </c>
      <c r="AN13" s="2" t="str">
        <f t="shared" si="9"/>
        <v>0.51</v>
      </c>
      <c r="AP13" s="2" t="e">
        <f t="shared" si="5"/>
        <v>#DIV/0!</v>
      </c>
      <c r="AQ13" s="2" t="e">
        <f t="shared" si="6"/>
        <v>#DIV/0!</v>
      </c>
      <c r="AS13" s="2">
        <f t="shared" si="10"/>
        <v>0</v>
      </c>
      <c r="AT13" s="11" t="str">
        <f t="shared" si="7"/>
        <v>FALSE</v>
      </c>
    </row>
    <row r="14" spans="2:46" s="2" customFormat="1" ht="21.95" customHeight="1" thickBot="1" x14ac:dyDescent="0.2">
      <c r="B14" s="489"/>
      <c r="C14" s="307"/>
      <c r="D14" s="490"/>
      <c r="E14" s="491"/>
      <c r="F14" s="385"/>
      <c r="G14" s="307"/>
      <c r="H14" s="306"/>
      <c r="I14" s="307"/>
      <c r="J14" s="455"/>
      <c r="K14" s="456"/>
      <c r="L14" s="457"/>
      <c r="M14" s="458"/>
      <c r="N14" s="391"/>
      <c r="O14" s="392"/>
      <c r="P14" s="401"/>
      <c r="Q14" s="402"/>
      <c r="R14" s="455"/>
      <c r="S14" s="459"/>
      <c r="T14" s="394"/>
      <c r="U14" s="395"/>
      <c r="V14" s="394"/>
      <c r="W14" s="396"/>
      <c r="X14" s="397"/>
      <c r="Y14" s="398"/>
      <c r="Z14" s="399" t="str">
        <f t="shared" si="0"/>
        <v/>
      </c>
      <c r="AA14" s="400"/>
      <c r="AB14" s="389" t="str">
        <f t="shared" si="1"/>
        <v/>
      </c>
      <c r="AC14" s="389"/>
      <c r="AD14" s="389" t="str">
        <f t="shared" si="2"/>
        <v/>
      </c>
      <c r="AE14" s="390"/>
      <c r="AH14" s="12" t="b">
        <v>1</v>
      </c>
      <c r="AI14" s="2">
        <f t="shared" si="3"/>
        <v>0</v>
      </c>
      <c r="AJ14" s="2">
        <f t="shared" si="4"/>
        <v>0</v>
      </c>
      <c r="AL14" s="12" t="b">
        <v>1</v>
      </c>
      <c r="AM14" s="2" t="str">
        <f t="shared" si="8"/>
        <v>0.93</v>
      </c>
      <c r="AN14" s="2" t="str">
        <f t="shared" si="9"/>
        <v>0.51</v>
      </c>
      <c r="AP14" s="2" t="e">
        <f t="shared" si="5"/>
        <v>#DIV/0!</v>
      </c>
      <c r="AQ14" s="2" t="e">
        <f t="shared" si="6"/>
        <v>#DIV/0!</v>
      </c>
      <c r="AS14" s="2">
        <f t="shared" si="10"/>
        <v>0</v>
      </c>
      <c r="AT14" s="11" t="str">
        <f t="shared" si="7"/>
        <v>FALSE</v>
      </c>
    </row>
    <row r="15" spans="2:46" s="2" customFormat="1" ht="21.95" customHeight="1" thickBot="1" x14ac:dyDescent="0.2">
      <c r="B15" s="386" t="s">
        <v>124</v>
      </c>
      <c r="C15" s="387"/>
      <c r="D15" s="387"/>
      <c r="E15" s="387"/>
      <c r="F15" s="387"/>
      <c r="G15" s="387"/>
      <c r="H15" s="387"/>
      <c r="I15" s="387"/>
      <c r="J15" s="387"/>
      <c r="K15" s="387"/>
      <c r="L15" s="387"/>
      <c r="M15" s="387"/>
      <c r="N15" s="387"/>
      <c r="O15" s="387"/>
      <c r="P15" s="387"/>
      <c r="Q15" s="387"/>
      <c r="R15" s="387"/>
      <c r="S15" s="387"/>
      <c r="T15" s="387"/>
      <c r="U15" s="387"/>
      <c r="V15" s="387"/>
      <c r="W15" s="387"/>
      <c r="X15" s="387"/>
      <c r="Y15" s="388"/>
      <c r="Z15" s="327">
        <f>SUM(Z8:AA14)</f>
        <v>0</v>
      </c>
      <c r="AA15" s="330"/>
      <c r="AB15" s="327">
        <f>IF(共通条件・結果!AA7="８地域","-",SUM(AB8:AC14))</f>
        <v>0</v>
      </c>
      <c r="AC15" s="330"/>
      <c r="AD15" s="327">
        <f t="shared" ref="AD15" si="11">SUM(AD8:AE14)</f>
        <v>0</v>
      </c>
      <c r="AE15" s="329"/>
      <c r="AH15" s="12"/>
      <c r="AL15" s="12"/>
      <c r="AT15" s="11"/>
    </row>
    <row r="16" spans="2:46" s="2" customFormat="1" ht="21.75" customHeight="1" x14ac:dyDescent="0.15">
      <c r="L16" s="34"/>
      <c r="AS16" s="259"/>
      <c r="AT16" s="259"/>
    </row>
    <row r="17" spans="12:50" s="2" customFormat="1" ht="21.95" customHeight="1" thickBot="1" x14ac:dyDescent="0.2">
      <c r="L17" s="4" t="s">
        <v>69</v>
      </c>
      <c r="M17" s="4"/>
      <c r="N17" s="4"/>
      <c r="P17" s="4"/>
    </row>
    <row r="18" spans="12:50" s="2" customFormat="1" ht="21.95" customHeight="1" x14ac:dyDescent="0.15">
      <c r="L18" s="257" t="s">
        <v>10</v>
      </c>
      <c r="M18" s="165"/>
      <c r="N18" s="262" t="s">
        <v>283</v>
      </c>
      <c r="O18" s="165"/>
      <c r="P18" s="165"/>
      <c r="Q18" s="263"/>
      <c r="R18" s="267" t="s">
        <v>284</v>
      </c>
      <c r="S18" s="227"/>
      <c r="T18" s="271" t="s">
        <v>6</v>
      </c>
      <c r="U18" s="272"/>
      <c r="V18" s="277" t="s">
        <v>60</v>
      </c>
      <c r="W18" s="278"/>
      <c r="X18" s="165" t="s">
        <v>288</v>
      </c>
      <c r="Y18" s="165"/>
      <c r="Z18" s="165"/>
      <c r="AA18" s="165"/>
      <c r="AB18" s="165"/>
      <c r="AC18" s="165"/>
      <c r="AD18" s="277" t="s">
        <v>266</v>
      </c>
      <c r="AE18" s="166"/>
    </row>
    <row r="19" spans="12:50" s="2" customFormat="1" ht="21.95" customHeight="1" x14ac:dyDescent="0.15">
      <c r="L19" s="258"/>
      <c r="M19" s="259"/>
      <c r="N19" s="264"/>
      <c r="O19" s="265"/>
      <c r="P19" s="265"/>
      <c r="Q19" s="266"/>
      <c r="R19" s="268"/>
      <c r="S19" s="269"/>
      <c r="T19" s="273"/>
      <c r="U19" s="274"/>
      <c r="V19" s="279"/>
      <c r="W19" s="280"/>
      <c r="X19" s="279" t="s">
        <v>148</v>
      </c>
      <c r="Y19" s="280"/>
      <c r="Z19" s="211" t="s">
        <v>39</v>
      </c>
      <c r="AA19" s="212"/>
      <c r="AB19" s="211" t="s">
        <v>38</v>
      </c>
      <c r="AC19" s="212"/>
      <c r="AD19" s="311"/>
      <c r="AE19" s="312"/>
      <c r="AH19" s="12"/>
      <c r="AI19" s="377" t="s">
        <v>44</v>
      </c>
      <c r="AJ19" s="377"/>
      <c r="AS19" s="259" t="s">
        <v>58</v>
      </c>
      <c r="AT19" s="259"/>
    </row>
    <row r="20" spans="12:50" s="2" customFormat="1" ht="21.95" customHeight="1" thickBot="1" x14ac:dyDescent="0.2">
      <c r="L20" s="260"/>
      <c r="M20" s="261"/>
      <c r="N20" s="283" t="s">
        <v>5</v>
      </c>
      <c r="O20" s="284"/>
      <c r="P20" s="217" t="s">
        <v>128</v>
      </c>
      <c r="Q20" s="217"/>
      <c r="R20" s="270"/>
      <c r="S20" s="270"/>
      <c r="T20" s="275"/>
      <c r="U20" s="276"/>
      <c r="V20" s="281"/>
      <c r="W20" s="282"/>
      <c r="X20" s="281"/>
      <c r="Y20" s="282"/>
      <c r="Z20" s="270"/>
      <c r="AA20" s="270"/>
      <c r="AB20" s="270"/>
      <c r="AC20" s="270"/>
      <c r="AD20" s="313"/>
      <c r="AE20" s="314"/>
      <c r="AH20" s="11" t="s">
        <v>130</v>
      </c>
      <c r="AI20" s="12" t="s">
        <v>2</v>
      </c>
      <c r="AJ20" s="12" t="s">
        <v>11</v>
      </c>
      <c r="AS20" s="2" t="s">
        <v>56</v>
      </c>
      <c r="AT20" s="2" t="s">
        <v>54</v>
      </c>
    </row>
    <row r="21" spans="12:50" s="2" customFormat="1" ht="21.95" customHeight="1" x14ac:dyDescent="0.15">
      <c r="L21" s="285"/>
      <c r="M21" s="286"/>
      <c r="N21" s="250"/>
      <c r="O21" s="287"/>
      <c r="P21" s="288"/>
      <c r="Q21" s="288"/>
      <c r="R21" s="250"/>
      <c r="S21" s="251"/>
      <c r="T21" s="250"/>
      <c r="U21" s="251"/>
      <c r="V21" s="379"/>
      <c r="W21" s="380"/>
      <c r="X21" s="252"/>
      <c r="Y21" s="253"/>
      <c r="Z21" s="372" t="str">
        <f>IF(N21="","",AI21)</f>
        <v/>
      </c>
      <c r="AA21" s="372"/>
      <c r="AB21" s="372" t="str">
        <f>IF(N21="","",IF(ISERROR(AJ21),"-",AJ21))</f>
        <v/>
      </c>
      <c r="AC21" s="372"/>
      <c r="AD21" s="372" t="str">
        <f>IF(N21="","",N21*P21*AS21*V21)</f>
        <v/>
      </c>
      <c r="AE21" s="378"/>
      <c r="AH21" s="12" t="b">
        <v>1</v>
      </c>
      <c r="AI21" s="2">
        <f>IF(AH21=FALSE,"0.0",IF(AH21=TRUE,N21*P21*R21*0.034*$Z$4,"-"))</f>
        <v>0</v>
      </c>
      <c r="AJ21" s="2">
        <f>IF(AH21=FALSE,"0.0",IF(ISERROR(N21*P21*R21*0.034*$AB$4),"-",N21*P21*R21*0.034*$AB$4))</f>
        <v>0</v>
      </c>
      <c r="AS21" s="2">
        <f>IF(AT21="FALSE",R21,IF(T21="風除室",1/((1/R21)+0.1),0.5*R21+0.5*(1/((1/R21)+AT21))))</f>
        <v>0</v>
      </c>
      <c r="AT21" s="11" t="str">
        <f>IF(T21="","FALSE",IF(T21="雨戸",0.1,IF(T21="ｼｬｯﾀｰ",0.1,IF(T21="障子",0.18,IF(T21="風除室",0.1)))))</f>
        <v>FALSE</v>
      </c>
    </row>
    <row r="22" spans="12:50" s="2" customFormat="1" ht="21.95" customHeight="1" thickBot="1" x14ac:dyDescent="0.2">
      <c r="L22" s="240"/>
      <c r="M22" s="241"/>
      <c r="N22" s="242"/>
      <c r="O22" s="243"/>
      <c r="P22" s="244"/>
      <c r="Q22" s="244"/>
      <c r="R22" s="242"/>
      <c r="S22" s="241"/>
      <c r="T22" s="242"/>
      <c r="U22" s="241"/>
      <c r="V22" s="245"/>
      <c r="W22" s="246"/>
      <c r="X22" s="254"/>
      <c r="Y22" s="255"/>
      <c r="Z22" s="318" t="str">
        <f>IF(N22="","",AI22)</f>
        <v/>
      </c>
      <c r="AA22" s="381"/>
      <c r="AB22" s="318" t="str">
        <f>IF(N22="","",IF(ISERROR(AJ22),"-",AJ22))</f>
        <v/>
      </c>
      <c r="AC22" s="381"/>
      <c r="AD22" s="318" t="str">
        <f>IF(N22="","",N22*P22*AS22*V22)</f>
        <v/>
      </c>
      <c r="AE22" s="320"/>
      <c r="AH22" s="12" t="b">
        <v>1</v>
      </c>
      <c r="AI22" s="2">
        <f>IF(AH22=FALSE,"0.0",IF(AH22=TRUE,N22*P22*R22*0.034*$Z$4,"-"))</f>
        <v>0</v>
      </c>
      <c r="AJ22" s="2">
        <f>IF(AH22=FALSE,"0.0",IF(ISERROR(N22*P22*R22*0.034*$AB$4),"-",N22*P22*R22*0.034*$AB$4))</f>
        <v>0</v>
      </c>
      <c r="AS22" s="2">
        <f>IF(AT22="FALSE",R22,IF(T22="風除室",1/((1/R22)+0.1),0.5*R22+0.5*(1/((1/R22)+AT22))))</f>
        <v>0</v>
      </c>
      <c r="AT22" s="11" t="str">
        <f>IF(T22="","FALSE",IF(T22="雨戸",0.1,IF(T22="ｼｬｯﾀｰ",0.1,IF(T22="障子",0.18,IF(T22="風除室",0.1)))))</f>
        <v>FALSE</v>
      </c>
    </row>
    <row r="23" spans="12:50" s="2" customFormat="1" ht="21.95" customHeight="1" thickBot="1" x14ac:dyDescent="0.2">
      <c r="L23" s="247" t="s">
        <v>125</v>
      </c>
      <c r="M23" s="248"/>
      <c r="N23" s="248"/>
      <c r="O23" s="248"/>
      <c r="P23" s="248"/>
      <c r="Q23" s="248"/>
      <c r="R23" s="248"/>
      <c r="S23" s="248"/>
      <c r="T23" s="248"/>
      <c r="U23" s="248"/>
      <c r="V23" s="248"/>
      <c r="W23" s="248"/>
      <c r="X23" s="248"/>
      <c r="Y23" s="249"/>
      <c r="Z23" s="327">
        <f>SUM(Z21:AA22)</f>
        <v>0</v>
      </c>
      <c r="AA23" s="330"/>
      <c r="AB23" s="327">
        <f t="shared" ref="AB23" si="12">SUM(AB21:AC22)</f>
        <v>0</v>
      </c>
      <c r="AC23" s="330"/>
      <c r="AD23" s="327">
        <f t="shared" ref="AD23" si="13">SUM(AD21:AE22)</f>
        <v>0</v>
      </c>
      <c r="AE23" s="329"/>
      <c r="AH23" s="12"/>
      <c r="AT23" s="11"/>
    </row>
    <row r="24" spans="12:50" s="2" customFormat="1" ht="21.75" customHeight="1" x14ac:dyDescent="0.15">
      <c r="L24" s="34"/>
      <c r="AA24" s="88"/>
      <c r="AT24" s="11"/>
    </row>
    <row r="25" spans="12:50" s="2" customFormat="1" ht="21.95" customHeight="1" thickBot="1" x14ac:dyDescent="0.2">
      <c r="L25" s="4" t="s">
        <v>61</v>
      </c>
      <c r="M25" s="4"/>
      <c r="N25" s="4"/>
      <c r="O25" s="4"/>
      <c r="P25" s="4"/>
      <c r="AL25" s="12"/>
      <c r="AM25" s="12"/>
      <c r="AN25" s="12"/>
      <c r="AO25" s="12"/>
      <c r="AP25" s="12"/>
      <c r="AT25" s="11"/>
    </row>
    <row r="26" spans="12:50" s="2" customFormat="1" ht="21.95" customHeight="1" x14ac:dyDescent="0.15">
      <c r="L26" s="257" t="s">
        <v>0</v>
      </c>
      <c r="M26" s="263"/>
      <c r="N26" s="277" t="s">
        <v>289</v>
      </c>
      <c r="O26" s="278"/>
      <c r="P26" s="277" t="s">
        <v>290</v>
      </c>
      <c r="Q26" s="278"/>
      <c r="R26" s="271" t="s">
        <v>291</v>
      </c>
      <c r="S26" s="438"/>
      <c r="T26" s="267" t="s">
        <v>284</v>
      </c>
      <c r="U26" s="227"/>
      <c r="V26" s="277" t="s">
        <v>60</v>
      </c>
      <c r="W26" s="278"/>
      <c r="X26" s="165" t="s">
        <v>288</v>
      </c>
      <c r="Y26" s="165"/>
      <c r="Z26" s="165"/>
      <c r="AA26" s="165"/>
      <c r="AB26" s="165"/>
      <c r="AC26" s="165"/>
      <c r="AD26" s="267" t="s">
        <v>266</v>
      </c>
      <c r="AE26" s="228"/>
      <c r="AH26" s="12"/>
      <c r="AI26" s="12"/>
      <c r="AJ26" s="12"/>
      <c r="AO26" s="12"/>
      <c r="AP26" s="12"/>
      <c r="AT26" s="11"/>
    </row>
    <row r="27" spans="12:50" s="2" customFormat="1" ht="21.95" customHeight="1" x14ac:dyDescent="0.15">
      <c r="L27" s="258"/>
      <c r="M27" s="352"/>
      <c r="N27" s="279"/>
      <c r="O27" s="280"/>
      <c r="P27" s="279"/>
      <c r="Q27" s="280"/>
      <c r="R27" s="273"/>
      <c r="S27" s="439"/>
      <c r="T27" s="269"/>
      <c r="U27" s="269"/>
      <c r="V27" s="279"/>
      <c r="W27" s="280"/>
      <c r="X27" s="279" t="s">
        <v>148</v>
      </c>
      <c r="Y27" s="280"/>
      <c r="Z27" s="382" t="s">
        <v>39</v>
      </c>
      <c r="AA27" s="383"/>
      <c r="AB27" s="382" t="s">
        <v>38</v>
      </c>
      <c r="AC27" s="383"/>
      <c r="AD27" s="269"/>
      <c r="AE27" s="414"/>
      <c r="AH27" s="12"/>
      <c r="AI27" s="377" t="s">
        <v>44</v>
      </c>
      <c r="AJ27" s="377"/>
      <c r="AO27" s="12"/>
      <c r="AP27" s="12"/>
      <c r="AT27" s="11"/>
      <c r="AX27" s="92"/>
    </row>
    <row r="28" spans="12:50" s="2" customFormat="1" ht="21.95" customHeight="1" thickBot="1" x14ac:dyDescent="0.2">
      <c r="L28" s="260"/>
      <c r="M28" s="353"/>
      <c r="N28" s="281"/>
      <c r="O28" s="282"/>
      <c r="P28" s="281"/>
      <c r="Q28" s="282"/>
      <c r="R28" s="275"/>
      <c r="S28" s="440"/>
      <c r="T28" s="270"/>
      <c r="U28" s="270"/>
      <c r="V28" s="281"/>
      <c r="W28" s="282"/>
      <c r="X28" s="281"/>
      <c r="Y28" s="282"/>
      <c r="Z28" s="281"/>
      <c r="AA28" s="282"/>
      <c r="AB28" s="281"/>
      <c r="AC28" s="282"/>
      <c r="AD28" s="270"/>
      <c r="AE28" s="415"/>
      <c r="AH28" s="11" t="s">
        <v>130</v>
      </c>
      <c r="AI28" s="12" t="s">
        <v>2</v>
      </c>
      <c r="AJ28" s="12" t="s">
        <v>11</v>
      </c>
      <c r="AO28" s="12"/>
      <c r="AP28" s="12"/>
    </row>
    <row r="29" spans="12:50" s="2" customFormat="1" ht="21.95" customHeight="1" x14ac:dyDescent="0.15">
      <c r="L29" s="297"/>
      <c r="M29" s="298"/>
      <c r="N29" s="250"/>
      <c r="O29" s="251"/>
      <c r="P29" s="250"/>
      <c r="Q29" s="251"/>
      <c r="R29" s="470" t="str">
        <f>IF(N29="","",N29-P29)</f>
        <v/>
      </c>
      <c r="S29" s="471"/>
      <c r="T29" s="250"/>
      <c r="U29" s="251"/>
      <c r="V29" s="379"/>
      <c r="W29" s="380"/>
      <c r="X29" s="252"/>
      <c r="Y29" s="253"/>
      <c r="Z29" s="365" t="str">
        <f>IF(N29="","",AI29)</f>
        <v/>
      </c>
      <c r="AA29" s="365"/>
      <c r="AB29" s="366" t="str">
        <f>IF(N29="","",AJ29)</f>
        <v/>
      </c>
      <c r="AC29" s="367"/>
      <c r="AD29" s="375" t="str">
        <f>IF(N29="","",R29*T29*V29)</f>
        <v/>
      </c>
      <c r="AE29" s="376"/>
      <c r="AH29" s="12" t="b">
        <v>1</v>
      </c>
      <c r="AI29" s="2" t="e">
        <f>IF(AH29=FALSE,"0.0",IF(AH29=TRUE,R29*T29*0.034*$Z$4,"-"))</f>
        <v>#VALUE!</v>
      </c>
      <c r="AJ29" s="2" t="str">
        <f>IF(AH29=FALSE,"0.0",IF(ISERROR(R29*T29*0.034*$AB$4),"-",R29*T29*0.034*$AB$4))</f>
        <v>-</v>
      </c>
      <c r="AO29" s="12"/>
      <c r="AP29" s="12"/>
    </row>
    <row r="30" spans="12:50" s="2" customFormat="1" ht="21.95" customHeight="1" x14ac:dyDescent="0.15">
      <c r="L30" s="295"/>
      <c r="M30" s="296"/>
      <c r="N30" s="289"/>
      <c r="O30" s="290"/>
      <c r="P30" s="289"/>
      <c r="Q30" s="290"/>
      <c r="R30" s="466" t="str">
        <f>IF(N30="","",N30-P30)</f>
        <v/>
      </c>
      <c r="S30" s="467"/>
      <c r="T30" s="289"/>
      <c r="U30" s="290"/>
      <c r="V30" s="245"/>
      <c r="W30" s="246"/>
      <c r="X30" s="254"/>
      <c r="Y30" s="255"/>
      <c r="Z30" s="365" t="str">
        <f>IF(N30="","",AI30)</f>
        <v/>
      </c>
      <c r="AA30" s="365"/>
      <c r="AB30" s="366" t="str">
        <f>IF(N30="","",AJ30)</f>
        <v/>
      </c>
      <c r="AC30" s="367"/>
      <c r="AD30" s="337" t="str">
        <f>IF(N30="","",R30*T30*V30)</f>
        <v/>
      </c>
      <c r="AE30" s="338"/>
      <c r="AH30" s="12" t="b">
        <v>1</v>
      </c>
      <c r="AI30" s="2" t="e">
        <f>IF(AH30=FALSE,"0.0",IF(AH30=TRUE,R30*T30*0.034*$Z$4,"-"))</f>
        <v>#VALUE!</v>
      </c>
      <c r="AJ30" s="2" t="str">
        <f>IF(AH30=FALSE,"0.0",IF(ISERROR(R30*T30*0.034*$AB$4),"-",R30*T30*0.034*$AB$4))</f>
        <v>-</v>
      </c>
      <c r="AO30" s="12"/>
      <c r="AP30" s="12"/>
    </row>
    <row r="31" spans="12:50" s="2" customFormat="1" ht="21.95" customHeight="1" x14ac:dyDescent="0.15">
      <c r="L31" s="295"/>
      <c r="M31" s="296"/>
      <c r="N31" s="289"/>
      <c r="O31" s="290"/>
      <c r="P31" s="289"/>
      <c r="Q31" s="290"/>
      <c r="R31" s="466" t="str">
        <f>IF(N31="","",N31-P31)</f>
        <v/>
      </c>
      <c r="S31" s="467"/>
      <c r="T31" s="289"/>
      <c r="U31" s="290"/>
      <c r="V31" s="245"/>
      <c r="W31" s="246"/>
      <c r="X31" s="254"/>
      <c r="Y31" s="255"/>
      <c r="Z31" s="365" t="str">
        <f>IF(N31="","",AI31)</f>
        <v/>
      </c>
      <c r="AA31" s="365"/>
      <c r="AB31" s="366" t="str">
        <f>IF(N31="","",AJ31)</f>
        <v/>
      </c>
      <c r="AC31" s="367"/>
      <c r="AD31" s="337" t="str">
        <f>IF(N31="","",R31*T31*V31)</f>
        <v/>
      </c>
      <c r="AE31" s="338"/>
      <c r="AH31" s="12" t="b">
        <v>1</v>
      </c>
      <c r="AI31" s="2" t="e">
        <f>IF(AH31=FALSE,"0.0",IF(AH31=TRUE,R31*T31*0.034*$Z$4,"-"))</f>
        <v>#VALUE!</v>
      </c>
      <c r="AJ31" s="2" t="str">
        <f>IF(AH31=FALSE,"0.0",IF(ISERROR(R31*T31*0.034*$AB$4),"-",R31*T31*0.034*$AB$4))</f>
        <v>-</v>
      </c>
      <c r="AO31" s="12"/>
      <c r="AP31" s="12"/>
    </row>
    <row r="32" spans="12:50" s="2" customFormat="1" ht="21.95" customHeight="1" x14ac:dyDescent="0.15">
      <c r="L32" s="295"/>
      <c r="M32" s="296"/>
      <c r="N32" s="289"/>
      <c r="O32" s="290"/>
      <c r="P32" s="289"/>
      <c r="Q32" s="290"/>
      <c r="R32" s="466" t="str">
        <f>IF(N32="","",N32-P32)</f>
        <v/>
      </c>
      <c r="S32" s="467"/>
      <c r="T32" s="289"/>
      <c r="U32" s="290"/>
      <c r="V32" s="245"/>
      <c r="W32" s="246"/>
      <c r="X32" s="254"/>
      <c r="Y32" s="255"/>
      <c r="Z32" s="365" t="str">
        <f>IF(N32="","",AI32)</f>
        <v/>
      </c>
      <c r="AA32" s="365"/>
      <c r="AB32" s="366" t="str">
        <f>IF(N32="","",AJ32)</f>
        <v/>
      </c>
      <c r="AC32" s="367"/>
      <c r="AD32" s="337" t="str">
        <f>IF(N32="","",R32*T32*V32)</f>
        <v/>
      </c>
      <c r="AE32" s="338"/>
      <c r="AH32" s="12" t="b">
        <v>1</v>
      </c>
      <c r="AI32" s="2" t="e">
        <f>IF(AH32=FALSE,"0.0",IF(AH32=TRUE,R32*T32*0.034*$Z$4,"-"))</f>
        <v>#VALUE!</v>
      </c>
      <c r="AJ32" s="2" t="str">
        <f>IF(AH32=FALSE,"0.0",IF(ISERROR(R32*T32*0.034*$AB$4),"-",R32*T32*0.034*$AB$4))</f>
        <v>-</v>
      </c>
      <c r="AO32" s="12"/>
      <c r="AP32" s="12"/>
    </row>
    <row r="33" spans="2:42" s="2" customFormat="1" ht="21.95" customHeight="1" thickBot="1" x14ac:dyDescent="0.2">
      <c r="L33" s="304"/>
      <c r="M33" s="305"/>
      <c r="N33" s="306"/>
      <c r="O33" s="307"/>
      <c r="P33" s="306"/>
      <c r="Q33" s="307"/>
      <c r="R33" s="468" t="str">
        <f>IF(N33="","",N33-P33)</f>
        <v/>
      </c>
      <c r="S33" s="469"/>
      <c r="T33" s="306"/>
      <c r="U33" s="307"/>
      <c r="V33" s="368"/>
      <c r="W33" s="369"/>
      <c r="X33" s="370"/>
      <c r="Y33" s="371"/>
      <c r="Z33" s="372" t="str">
        <f>IF(N33="","",AI33)</f>
        <v/>
      </c>
      <c r="AA33" s="372"/>
      <c r="AB33" s="373" t="str">
        <f>IF(N33="","",AJ33)</f>
        <v/>
      </c>
      <c r="AC33" s="374"/>
      <c r="AD33" s="308" t="str">
        <f>IF(N33="","",R33*T33*V33)</f>
        <v/>
      </c>
      <c r="AE33" s="309"/>
      <c r="AH33" s="12" t="b">
        <v>1</v>
      </c>
      <c r="AI33" s="2" t="e">
        <f>IF(AH33=FALSE,"0.0",IF(AH33=TRUE,R33*T33*0.034*$Z$4,"-"))</f>
        <v>#VALUE!</v>
      </c>
      <c r="AJ33" s="2" t="str">
        <f>IF(AH33=FALSE,"0.0",IF(ISERROR(R33*T33*0.034*$AB$4),"-",R33*T33*0.034*$AB$4))</f>
        <v>-</v>
      </c>
      <c r="AO33" s="12"/>
      <c r="AP33" s="12"/>
    </row>
    <row r="34" spans="2:42" s="2" customFormat="1" ht="21.95" customHeight="1" thickBot="1" x14ac:dyDescent="0.2">
      <c r="L34" s="247" t="s">
        <v>126</v>
      </c>
      <c r="M34" s="248"/>
      <c r="N34" s="248"/>
      <c r="O34" s="248"/>
      <c r="P34" s="248"/>
      <c r="Q34" s="248"/>
      <c r="R34" s="248"/>
      <c r="S34" s="248"/>
      <c r="T34" s="248"/>
      <c r="U34" s="248"/>
      <c r="V34" s="248"/>
      <c r="W34" s="248"/>
      <c r="X34" s="248"/>
      <c r="Y34" s="249"/>
      <c r="Z34" s="327">
        <f>SUM(Z29:AA33)</f>
        <v>0</v>
      </c>
      <c r="AA34" s="330"/>
      <c r="AB34" s="327">
        <f>IF(共通条件・結果!AA7="８地域","-",SUM(AB29:AC33))</f>
        <v>0</v>
      </c>
      <c r="AC34" s="330"/>
      <c r="AD34" s="331">
        <f t="shared" ref="AD34" si="14">SUM(AD29:AE33)</f>
        <v>0</v>
      </c>
      <c r="AE34" s="332"/>
      <c r="AH34" s="12"/>
      <c r="AO34" s="12"/>
      <c r="AP34" s="12"/>
    </row>
    <row r="35" spans="2:42" s="2" customFormat="1" ht="21.75" customHeight="1" x14ac:dyDescent="0.15">
      <c r="L35" s="101" t="s">
        <v>395</v>
      </c>
      <c r="N35" s="20"/>
      <c r="O35" s="20"/>
      <c r="P35" s="20"/>
      <c r="Q35" s="20"/>
      <c r="R35" s="20"/>
      <c r="S35" s="20"/>
      <c r="T35" s="20"/>
      <c r="U35" s="20"/>
      <c r="V35" s="20"/>
      <c r="W35" s="20"/>
      <c r="X35" s="20"/>
      <c r="Y35" s="20"/>
      <c r="Z35" s="21"/>
      <c r="AA35" s="21"/>
      <c r="AB35" s="21"/>
      <c r="AC35" s="21"/>
      <c r="AD35" s="21"/>
      <c r="AE35" s="21"/>
    </row>
    <row r="36" spans="2:42" s="2" customFormat="1" ht="21.75" customHeight="1" thickBot="1" x14ac:dyDescent="0.2">
      <c r="L36" s="4" t="s">
        <v>233</v>
      </c>
      <c r="U36" s="4"/>
      <c r="V36" s="4"/>
      <c r="X36" s="4"/>
    </row>
    <row r="37" spans="2:42" s="2" customFormat="1" ht="21.75" customHeight="1" x14ac:dyDescent="0.15">
      <c r="L37" s="321" t="s">
        <v>232</v>
      </c>
      <c r="M37" s="267"/>
      <c r="N37" s="227" t="s">
        <v>283</v>
      </c>
      <c r="O37" s="227"/>
      <c r="P37" s="227"/>
      <c r="Q37" s="227"/>
      <c r="R37" s="227"/>
      <c r="S37" s="227"/>
      <c r="T37" s="277" t="s">
        <v>292</v>
      </c>
      <c r="U37" s="165"/>
      <c r="V37" s="165"/>
      <c r="W37" s="263"/>
      <c r="X37" s="277" t="s">
        <v>60</v>
      </c>
      <c r="Y37" s="349"/>
      <c r="Z37" s="349"/>
      <c r="AA37" s="278"/>
      <c r="AB37" s="277" t="s">
        <v>266</v>
      </c>
      <c r="AC37" s="165"/>
      <c r="AD37" s="165"/>
      <c r="AE37" s="166"/>
    </row>
    <row r="38" spans="2:42" s="2" customFormat="1" ht="21.75" customHeight="1" x14ac:dyDescent="0.15">
      <c r="L38" s="322"/>
      <c r="M38" s="211"/>
      <c r="N38" s="212"/>
      <c r="O38" s="212"/>
      <c r="P38" s="212"/>
      <c r="Q38" s="212"/>
      <c r="R38" s="212"/>
      <c r="S38" s="212"/>
      <c r="T38" s="311"/>
      <c r="U38" s="259"/>
      <c r="V38" s="259"/>
      <c r="W38" s="352"/>
      <c r="X38" s="279"/>
      <c r="Y38" s="350"/>
      <c r="Z38" s="350"/>
      <c r="AA38" s="280"/>
      <c r="AB38" s="311"/>
      <c r="AC38" s="259"/>
      <c r="AD38" s="259"/>
      <c r="AE38" s="312"/>
    </row>
    <row r="39" spans="2:42" s="2" customFormat="1" ht="21.75" customHeight="1" thickBot="1" x14ac:dyDescent="0.2">
      <c r="L39" s="323"/>
      <c r="M39" s="324"/>
      <c r="N39" s="270" t="s">
        <v>5</v>
      </c>
      <c r="O39" s="270"/>
      <c r="P39" s="283"/>
      <c r="Q39" s="270" t="s">
        <v>128</v>
      </c>
      <c r="R39" s="270"/>
      <c r="S39" s="270"/>
      <c r="T39" s="313"/>
      <c r="U39" s="261"/>
      <c r="V39" s="261"/>
      <c r="W39" s="353"/>
      <c r="X39" s="281"/>
      <c r="Y39" s="351"/>
      <c r="Z39" s="351"/>
      <c r="AA39" s="282"/>
      <c r="AB39" s="313"/>
      <c r="AC39" s="261"/>
      <c r="AD39" s="261"/>
      <c r="AE39" s="314"/>
    </row>
    <row r="40" spans="2:42" s="2" customFormat="1" ht="21.75" customHeight="1" x14ac:dyDescent="0.15">
      <c r="L40" s="297"/>
      <c r="M40" s="298"/>
      <c r="N40" s="354"/>
      <c r="O40" s="355"/>
      <c r="P40" s="355"/>
      <c r="Q40" s="354"/>
      <c r="R40" s="355"/>
      <c r="S40" s="356"/>
      <c r="T40" s="354"/>
      <c r="U40" s="355"/>
      <c r="V40" s="355"/>
      <c r="W40" s="356"/>
      <c r="X40" s="354"/>
      <c r="Y40" s="355"/>
      <c r="Z40" s="355"/>
      <c r="AA40" s="356"/>
      <c r="AB40" s="315" t="str">
        <f>IF(N40="","",N40*Q40*T40*X40)</f>
        <v/>
      </c>
      <c r="AC40" s="316"/>
      <c r="AD40" s="316"/>
      <c r="AE40" s="317"/>
    </row>
    <row r="41" spans="2:42" s="2" customFormat="1" ht="21.75" customHeight="1" thickBot="1" x14ac:dyDescent="0.2">
      <c r="L41" s="325"/>
      <c r="M41" s="326"/>
      <c r="N41" s="357"/>
      <c r="O41" s="358"/>
      <c r="P41" s="358"/>
      <c r="Q41" s="357"/>
      <c r="R41" s="358"/>
      <c r="S41" s="359"/>
      <c r="T41" s="357"/>
      <c r="U41" s="358"/>
      <c r="V41" s="358"/>
      <c r="W41" s="359"/>
      <c r="X41" s="357"/>
      <c r="Y41" s="358"/>
      <c r="Z41" s="358"/>
      <c r="AA41" s="359"/>
      <c r="AB41" s="318" t="str">
        <f>IF(N41="","",N41*Q41*T41*X41)</f>
        <v/>
      </c>
      <c r="AC41" s="319"/>
      <c r="AD41" s="319"/>
      <c r="AE41" s="320"/>
    </row>
    <row r="42" spans="2:42" s="2" customFormat="1" ht="21.75" customHeight="1" thickBot="1" x14ac:dyDescent="0.2">
      <c r="L42" s="247" t="s">
        <v>246</v>
      </c>
      <c r="M42" s="248"/>
      <c r="N42" s="248"/>
      <c r="O42" s="248"/>
      <c r="P42" s="248"/>
      <c r="Q42" s="248"/>
      <c r="R42" s="248"/>
      <c r="S42" s="248"/>
      <c r="T42" s="248"/>
      <c r="U42" s="248"/>
      <c r="V42" s="248"/>
      <c r="W42" s="248"/>
      <c r="X42" s="248"/>
      <c r="Y42" s="248"/>
      <c r="Z42" s="248"/>
      <c r="AA42" s="249"/>
      <c r="AB42" s="327">
        <f>SUM(AB40:AB41)</f>
        <v>0</v>
      </c>
      <c r="AC42" s="328"/>
      <c r="AD42" s="328"/>
      <c r="AE42" s="329"/>
    </row>
    <row r="43" spans="2:42" s="2" customFormat="1" ht="21.75" customHeight="1" x14ac:dyDescent="0.15">
      <c r="L43" s="34"/>
      <c r="N43" s="20"/>
      <c r="O43" s="20"/>
      <c r="P43" s="20"/>
      <c r="Q43" s="20"/>
      <c r="R43" s="20"/>
      <c r="S43" s="20"/>
      <c r="T43" s="20"/>
      <c r="U43" s="20"/>
      <c r="V43" s="20"/>
      <c r="W43" s="20"/>
      <c r="X43" s="20"/>
      <c r="Y43" s="20"/>
      <c r="Z43" s="21"/>
      <c r="AA43" s="21"/>
      <c r="AB43" s="21"/>
      <c r="AC43" s="21"/>
      <c r="AD43" s="21"/>
      <c r="AE43" s="21"/>
    </row>
    <row r="44" spans="2:42" s="2" customFormat="1" ht="21.95" customHeight="1" thickBot="1" x14ac:dyDescent="0.2">
      <c r="B44" s="4" t="s">
        <v>239</v>
      </c>
      <c r="F44" s="4"/>
    </row>
    <row r="45" spans="2:42" s="2" customFormat="1" ht="21.95" customHeight="1" x14ac:dyDescent="0.15">
      <c r="B45" s="339" t="s">
        <v>127</v>
      </c>
      <c r="C45" s="340"/>
      <c r="D45" s="36" t="s">
        <v>31</v>
      </c>
      <c r="E45" s="37"/>
      <c r="F45" s="37"/>
      <c r="G45" s="37"/>
      <c r="H45" s="37"/>
      <c r="I45" s="37"/>
      <c r="J45" s="300">
        <f>$O45+$S$45+$W$45+$AC$45</f>
        <v>0</v>
      </c>
      <c r="K45" s="301"/>
      <c r="L45" s="301"/>
      <c r="M45" s="37" t="s">
        <v>15</v>
      </c>
      <c r="N45" s="7" t="s">
        <v>14</v>
      </c>
      <c r="O45" s="345">
        <f>$D$8*$F$8+$D$9*$F$9+$D$10*$F$10+$D$11*$F$11+$D$12*$F$12+$D$13*$F$13+$D$14*$F$14</f>
        <v>0</v>
      </c>
      <c r="P45" s="345"/>
      <c r="Q45" s="8" t="s">
        <v>237</v>
      </c>
      <c r="R45" s="8"/>
      <c r="S45" s="346">
        <f>$N$21*$P$21+$N$22*$P$22</f>
        <v>0</v>
      </c>
      <c r="T45" s="346"/>
      <c r="U45" s="8" t="s">
        <v>236</v>
      </c>
      <c r="V45" s="8"/>
      <c r="W45" s="346">
        <f>SUM($R$29:$S$33)</f>
        <v>0</v>
      </c>
      <c r="X45" s="346"/>
      <c r="Y45" s="8" t="s">
        <v>235</v>
      </c>
      <c r="Z45" s="37"/>
      <c r="AA45" s="72"/>
      <c r="AB45" s="72"/>
      <c r="AC45" s="346">
        <f>$N$40*$Q$40+$N$41*$Q$41</f>
        <v>0</v>
      </c>
      <c r="AD45" s="346"/>
      <c r="AE45" s="13" t="s">
        <v>215</v>
      </c>
    </row>
    <row r="46" spans="2:42" s="2" customFormat="1" ht="21.95" customHeight="1" x14ac:dyDescent="0.15">
      <c r="B46" s="341"/>
      <c r="C46" s="342"/>
      <c r="D46" s="38" t="s">
        <v>42</v>
      </c>
      <c r="E46" s="14"/>
      <c r="F46" s="14"/>
      <c r="G46" s="14"/>
      <c r="H46" s="14"/>
      <c r="I46" s="14"/>
      <c r="J46" s="38"/>
      <c r="K46" s="14"/>
      <c r="L46" s="14"/>
      <c r="M46" s="14"/>
      <c r="N46" s="14"/>
      <c r="O46" s="14"/>
      <c r="P46" s="14"/>
      <c r="Q46" s="14"/>
      <c r="R46" s="14"/>
      <c r="S46" s="14"/>
      <c r="T46" s="14"/>
      <c r="U46" s="14"/>
      <c r="V46" s="14"/>
      <c r="W46" s="14"/>
      <c r="X46" s="14"/>
      <c r="Y46" s="14"/>
      <c r="Z46" s="14"/>
      <c r="AA46" s="348">
        <f>$Z$15+$Z$23+$Z$34</f>
        <v>0</v>
      </c>
      <c r="AB46" s="348"/>
      <c r="AC46" s="348"/>
      <c r="AD46" s="302" t="s">
        <v>261</v>
      </c>
      <c r="AE46" s="303"/>
    </row>
    <row r="47" spans="2:42" s="2" customFormat="1" ht="21.95" customHeight="1" x14ac:dyDescent="0.15">
      <c r="B47" s="341"/>
      <c r="C47" s="342"/>
      <c r="D47" s="38" t="s">
        <v>43</v>
      </c>
      <c r="E47" s="14"/>
      <c r="F47" s="14"/>
      <c r="G47" s="14"/>
      <c r="H47" s="14"/>
      <c r="I47" s="14"/>
      <c r="J47" s="38"/>
      <c r="K47" s="14"/>
      <c r="L47" s="14"/>
      <c r="M47" s="14"/>
      <c r="N47" s="14"/>
      <c r="O47" s="14"/>
      <c r="P47" s="14"/>
      <c r="Q47" s="14"/>
      <c r="R47" s="14"/>
      <c r="S47" s="14"/>
      <c r="T47" s="14"/>
      <c r="U47" s="14"/>
      <c r="V47" s="14"/>
      <c r="W47" s="14"/>
      <c r="X47" s="14"/>
      <c r="Y47" s="14"/>
      <c r="Z47" s="14"/>
      <c r="AA47" s="348">
        <f>IF(共通条件・結果!AA7="８地域","-",$AB$15+$AB$23+$AB$34)</f>
        <v>0</v>
      </c>
      <c r="AB47" s="348"/>
      <c r="AC47" s="348"/>
      <c r="AD47" s="302" t="s">
        <v>261</v>
      </c>
      <c r="AE47" s="303"/>
    </row>
    <row r="48" spans="2:42" s="2" customFormat="1" ht="21.95" customHeight="1" thickBot="1" x14ac:dyDescent="0.2">
      <c r="B48" s="343"/>
      <c r="C48" s="344"/>
      <c r="D48" s="35" t="s">
        <v>12</v>
      </c>
      <c r="E48" s="15"/>
      <c r="F48" s="15"/>
      <c r="G48" s="15"/>
      <c r="H48" s="15"/>
      <c r="I48" s="15"/>
      <c r="J48" s="35"/>
      <c r="K48" s="15"/>
      <c r="L48" s="15"/>
      <c r="M48" s="15"/>
      <c r="N48" s="15"/>
      <c r="O48" s="15"/>
      <c r="P48" s="15"/>
      <c r="Q48" s="15"/>
      <c r="R48" s="15"/>
      <c r="S48" s="15"/>
      <c r="T48" s="15"/>
      <c r="U48" s="15"/>
      <c r="V48" s="15"/>
      <c r="W48" s="15"/>
      <c r="X48" s="15"/>
      <c r="Y48" s="15"/>
      <c r="Z48" s="5"/>
      <c r="AA48" s="310">
        <f>$AD$15+$AD$23+$AD$34+$AB$42</f>
        <v>0</v>
      </c>
      <c r="AB48" s="310"/>
      <c r="AC48" s="310"/>
      <c r="AD48" s="15" t="s">
        <v>13</v>
      </c>
      <c r="AE48" s="6"/>
      <c r="AI48" s="22"/>
    </row>
    <row r="49" s="2" customFormat="1" ht="5.0999999999999996" customHeight="1" x14ac:dyDescent="0.15"/>
    <row r="50" s="2" customFormat="1" ht="21.95" customHeight="1" x14ac:dyDescent="0.15"/>
    <row r="51" s="2" customFormat="1" ht="21.95" customHeight="1" x14ac:dyDescent="0.15"/>
    <row r="52" s="2" customFormat="1" ht="21.95" customHeight="1" x14ac:dyDescent="0.15"/>
    <row r="53" s="2" customFormat="1" ht="21.95" customHeight="1" x14ac:dyDescent="0.15"/>
    <row r="54" s="2" customFormat="1" ht="21.95" customHeight="1" x14ac:dyDescent="0.15"/>
    <row r="55" s="2" customFormat="1" ht="21.95" customHeight="1" x14ac:dyDescent="0.15"/>
    <row r="56" s="2" customFormat="1" ht="21.95" customHeight="1" x14ac:dyDescent="0.15"/>
    <row r="57" s="2" customFormat="1" ht="21.95" customHeight="1" x14ac:dyDescent="0.15"/>
    <row r="58" s="2" customFormat="1" ht="21.95" customHeight="1" x14ac:dyDescent="0.15"/>
    <row r="59" s="2" customFormat="1" ht="21.95" customHeight="1" x14ac:dyDescent="0.15"/>
    <row r="60" s="2" customFormat="1" ht="21.95" customHeight="1" x14ac:dyDescent="0.15"/>
    <row r="61" s="2" customFormat="1" ht="21.95" customHeight="1" x14ac:dyDescent="0.15"/>
    <row r="62" s="2" customFormat="1" ht="21.95" customHeight="1" x14ac:dyDescent="0.15"/>
    <row r="63" s="2" customFormat="1" ht="21.95" customHeight="1" x14ac:dyDescent="0.15"/>
    <row r="64" s="2" customFormat="1" ht="21.95" customHeight="1" x14ac:dyDescent="0.15"/>
    <row r="65" s="2" customFormat="1" ht="24.95" customHeight="1" x14ac:dyDescent="0.15"/>
    <row r="66" s="2" customFormat="1" ht="24.95" customHeight="1" x14ac:dyDescent="0.15"/>
    <row r="67" s="2" customFormat="1" ht="24.95" customHeight="1" x14ac:dyDescent="0.15"/>
    <row r="68" s="2" customFormat="1" ht="24.95" customHeight="1" x14ac:dyDescent="0.15"/>
    <row r="69" s="2" customFormat="1" ht="24.95" customHeight="1" x14ac:dyDescent="0.15"/>
    <row r="70" s="2" customFormat="1" ht="24.95" customHeight="1" x14ac:dyDescent="0.15"/>
    <row r="71" s="2" customFormat="1" ht="24.95" customHeight="1" x14ac:dyDescent="0.15"/>
    <row r="72" s="2" customFormat="1" ht="24.95" customHeight="1" x14ac:dyDescent="0.15"/>
    <row r="73" s="2" customFormat="1" ht="24.95" customHeight="1" x14ac:dyDescent="0.15"/>
    <row r="74" s="2" customFormat="1" ht="24.95" customHeight="1" x14ac:dyDescent="0.15"/>
    <row r="75" s="2" customFormat="1" ht="24.95" customHeight="1" x14ac:dyDescent="0.15"/>
    <row r="76" s="2" customFormat="1" ht="24.95" customHeight="1" x14ac:dyDescent="0.15"/>
    <row r="77" s="2" customFormat="1" ht="24.95" customHeight="1" x14ac:dyDescent="0.15"/>
    <row r="78" s="2" customFormat="1" ht="24.95" customHeight="1" x14ac:dyDescent="0.15"/>
    <row r="79" s="2" customFormat="1" ht="24.95" customHeight="1" x14ac:dyDescent="0.15"/>
    <row r="80" s="2" customFormat="1" ht="24.95" customHeight="1" x14ac:dyDescent="0.15"/>
    <row r="81" s="2" customFormat="1" ht="24.95" customHeight="1" x14ac:dyDescent="0.15"/>
    <row r="82" s="2" customFormat="1" ht="24.95" customHeight="1" x14ac:dyDescent="0.15"/>
    <row r="83" s="2" customFormat="1" ht="24.95" customHeight="1" x14ac:dyDescent="0.15"/>
    <row r="84" s="2" customFormat="1" ht="24.95" customHeight="1" x14ac:dyDescent="0.15"/>
    <row r="85" s="2" customFormat="1" ht="24.95" customHeight="1" x14ac:dyDescent="0.15"/>
    <row r="86" s="2" customFormat="1" ht="24.95" customHeight="1" x14ac:dyDescent="0.15"/>
    <row r="87" s="2" customFormat="1" ht="24.95" customHeight="1" x14ac:dyDescent="0.15"/>
    <row r="88" s="2" customFormat="1" ht="24.95" customHeight="1" x14ac:dyDescent="0.15"/>
    <row r="89" s="2" customFormat="1" ht="24.95" customHeight="1" x14ac:dyDescent="0.15"/>
    <row r="90" s="2" customFormat="1" ht="24.95" customHeight="1" x14ac:dyDescent="0.15"/>
    <row r="91" s="2" customFormat="1" ht="24.95" customHeight="1" x14ac:dyDescent="0.15"/>
    <row r="92" s="2" customFormat="1" ht="24.95" customHeight="1" x14ac:dyDescent="0.15"/>
    <row r="93" s="2" customFormat="1" ht="24.95" customHeight="1" x14ac:dyDescent="0.15"/>
    <row r="94" s="2" customFormat="1" ht="24.95" customHeight="1" x14ac:dyDescent="0.15"/>
    <row r="95" s="2" customFormat="1" ht="24.95" customHeight="1" x14ac:dyDescent="0.15"/>
    <row r="96" s="2" customFormat="1" ht="24.95" customHeight="1" x14ac:dyDescent="0.15"/>
    <row r="97" s="2" customFormat="1" ht="24.95" customHeight="1" x14ac:dyDescent="0.15"/>
    <row r="98" s="3" customFormat="1" ht="24.95" customHeight="1" x14ac:dyDescent="0.15"/>
    <row r="99" s="3" customFormat="1"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sheetData>
  <sheetProtection algorithmName="SHA-512" hashValue="72foWoJwFPKEwLW2QSh8gp60HNgv5GUAUF+O8uf40lHUO+AmVJ11qmlrdCc0vb7lY2asm6Ipa8g/UC07gPR7tw==" saltValue="Cq5DrpPh4n+TLk25Ofj6wQ==" spinCount="100000" sheet="1" selectLockedCells="1"/>
  <mergeCells count="273">
    <mergeCell ref="AD46:AE46"/>
    <mergeCell ref="AD47:AE47"/>
    <mergeCell ref="L8:M8"/>
    <mergeCell ref="AB9:AC9"/>
    <mergeCell ref="AB42:AE42"/>
    <mergeCell ref="L42:AA42"/>
    <mergeCell ref="Z15:AA15"/>
    <mergeCell ref="AB15:AC15"/>
    <mergeCell ref="AD15:AE15"/>
    <mergeCell ref="B15:Y15"/>
    <mergeCell ref="Z23:AA23"/>
    <mergeCell ref="AB23:AC23"/>
    <mergeCell ref="AD23:AE23"/>
    <mergeCell ref="Z34:AA34"/>
    <mergeCell ref="AB34:AC34"/>
    <mergeCell ref="AD34:AE34"/>
    <mergeCell ref="L34:Y34"/>
    <mergeCell ref="X22:Y22"/>
    <mergeCell ref="Z22:AA22"/>
    <mergeCell ref="AB22:AC22"/>
    <mergeCell ref="AD22:AE22"/>
    <mergeCell ref="X21:Y21"/>
    <mergeCell ref="Z21:AA21"/>
    <mergeCell ref="AB21:AC21"/>
    <mergeCell ref="AD21:AE21"/>
    <mergeCell ref="B2:AE2"/>
    <mergeCell ref="V4:Y4"/>
    <mergeCell ref="Z4:AA4"/>
    <mergeCell ref="AB4:AC4"/>
    <mergeCell ref="B5:C7"/>
    <mergeCell ref="D5:G5"/>
    <mergeCell ref="H5:I7"/>
    <mergeCell ref="J5:M5"/>
    <mergeCell ref="N5:O7"/>
    <mergeCell ref="P5:Q7"/>
    <mergeCell ref="R5:Y5"/>
    <mergeCell ref="Z5:AA7"/>
    <mergeCell ref="AB5:AC7"/>
    <mergeCell ref="AD5:AE7"/>
    <mergeCell ref="D6:E7"/>
    <mergeCell ref="F6:G7"/>
    <mergeCell ref="J6:K7"/>
    <mergeCell ref="L6:M7"/>
    <mergeCell ref="R6:S7"/>
    <mergeCell ref="T6:Y6"/>
    <mergeCell ref="AD9:AE9"/>
    <mergeCell ref="N10:O10"/>
    <mergeCell ref="P10:Q10"/>
    <mergeCell ref="AI6:AJ6"/>
    <mergeCell ref="AM6:AN6"/>
    <mergeCell ref="AP6:AQ6"/>
    <mergeCell ref="AS6:AT6"/>
    <mergeCell ref="T7:U7"/>
    <mergeCell ref="V7:W7"/>
    <mergeCell ref="X7:Y7"/>
    <mergeCell ref="R9:S9"/>
    <mergeCell ref="T9:U9"/>
    <mergeCell ref="V9:W9"/>
    <mergeCell ref="X9:Y9"/>
    <mergeCell ref="Z9:AA9"/>
    <mergeCell ref="Z8:AA8"/>
    <mergeCell ref="AB8:AC8"/>
    <mergeCell ref="AD8:AE8"/>
    <mergeCell ref="R8:S8"/>
    <mergeCell ref="T8:U8"/>
    <mergeCell ref="V8:W8"/>
    <mergeCell ref="X8:Y8"/>
    <mergeCell ref="B8:C8"/>
    <mergeCell ref="D8:E8"/>
    <mergeCell ref="F8:G8"/>
    <mergeCell ref="H8:I8"/>
    <mergeCell ref="J8:K8"/>
    <mergeCell ref="N8:O8"/>
    <mergeCell ref="P8:Q8"/>
    <mergeCell ref="F10:G10"/>
    <mergeCell ref="T11:U11"/>
    <mergeCell ref="V11:W11"/>
    <mergeCell ref="X11:Y11"/>
    <mergeCell ref="B9:C9"/>
    <mergeCell ref="D9:E9"/>
    <mergeCell ref="F9:G9"/>
    <mergeCell ref="H9:I9"/>
    <mergeCell ref="J9:K9"/>
    <mergeCell ref="L9:M9"/>
    <mergeCell ref="N9:O9"/>
    <mergeCell ref="P9:Q9"/>
    <mergeCell ref="Z11:AA11"/>
    <mergeCell ref="AB11:AC11"/>
    <mergeCell ref="AD11:AE11"/>
    <mergeCell ref="AD10:AE10"/>
    <mergeCell ref="B11:C11"/>
    <mergeCell ref="D11:E11"/>
    <mergeCell ref="F11:G11"/>
    <mergeCell ref="H11:I11"/>
    <mergeCell ref="J11:K11"/>
    <mergeCell ref="L11:M11"/>
    <mergeCell ref="N11:O11"/>
    <mergeCell ref="P11:Q11"/>
    <mergeCell ref="R11:S11"/>
    <mergeCell ref="R10:S10"/>
    <mergeCell ref="T10:U10"/>
    <mergeCell ref="V10:W10"/>
    <mergeCell ref="X10:Y10"/>
    <mergeCell ref="Z10:AA10"/>
    <mergeCell ref="AB10:AC10"/>
    <mergeCell ref="B10:C10"/>
    <mergeCell ref="D10:E10"/>
    <mergeCell ref="H10:I10"/>
    <mergeCell ref="J10:K10"/>
    <mergeCell ref="L10:M10"/>
    <mergeCell ref="B13:C13"/>
    <mergeCell ref="D13:E13"/>
    <mergeCell ref="F13:G13"/>
    <mergeCell ref="H13:I13"/>
    <mergeCell ref="J13:K13"/>
    <mergeCell ref="L13:M13"/>
    <mergeCell ref="N13:O13"/>
    <mergeCell ref="N12:O12"/>
    <mergeCell ref="P12:Q12"/>
    <mergeCell ref="B12:C12"/>
    <mergeCell ref="D12:E12"/>
    <mergeCell ref="F12:G12"/>
    <mergeCell ref="H12:I12"/>
    <mergeCell ref="J12:K12"/>
    <mergeCell ref="L12:M12"/>
    <mergeCell ref="P13:Q13"/>
    <mergeCell ref="Z12:AA12"/>
    <mergeCell ref="AB12:AC12"/>
    <mergeCell ref="AD12:AE12"/>
    <mergeCell ref="R12:S12"/>
    <mergeCell ref="T12:U12"/>
    <mergeCell ref="V12:W12"/>
    <mergeCell ref="X12:Y12"/>
    <mergeCell ref="AB13:AC13"/>
    <mergeCell ref="AD13:AE13"/>
    <mergeCell ref="AI19:AJ19"/>
    <mergeCell ref="AS19:AT19"/>
    <mergeCell ref="AD14:AE14"/>
    <mergeCell ref="X18:AC18"/>
    <mergeCell ref="R13:S13"/>
    <mergeCell ref="T13:U13"/>
    <mergeCell ref="V13:W13"/>
    <mergeCell ref="X13:Y13"/>
    <mergeCell ref="Z13:AA13"/>
    <mergeCell ref="AS16:AT16"/>
    <mergeCell ref="R14:S14"/>
    <mergeCell ref="T14:U14"/>
    <mergeCell ref="V14:W14"/>
    <mergeCell ref="X14:Y14"/>
    <mergeCell ref="Z14:AA14"/>
    <mergeCell ref="AB14:AC14"/>
    <mergeCell ref="B14:C14"/>
    <mergeCell ref="D14:E14"/>
    <mergeCell ref="F14:G14"/>
    <mergeCell ref="H14:I14"/>
    <mergeCell ref="J14:K14"/>
    <mergeCell ref="L14:M14"/>
    <mergeCell ref="N14:O14"/>
    <mergeCell ref="P14:Q14"/>
    <mergeCell ref="AD18:AE20"/>
    <mergeCell ref="X19:Y20"/>
    <mergeCell ref="Z19:AA20"/>
    <mergeCell ref="AB19:AC20"/>
    <mergeCell ref="X26:AC26"/>
    <mergeCell ref="AD26:AE28"/>
    <mergeCell ref="X27:Y28"/>
    <mergeCell ref="Z27:AA28"/>
    <mergeCell ref="AB27:AC28"/>
    <mergeCell ref="AI27:AJ27"/>
    <mergeCell ref="L26:M28"/>
    <mergeCell ref="N26:O28"/>
    <mergeCell ref="P26:Q28"/>
    <mergeCell ref="R26:S28"/>
    <mergeCell ref="T26:U28"/>
    <mergeCell ref="V26:W28"/>
    <mergeCell ref="X29:Y29"/>
    <mergeCell ref="Z29:AA29"/>
    <mergeCell ref="AB29:AC29"/>
    <mergeCell ref="AD29:AE29"/>
    <mergeCell ref="L30:M30"/>
    <mergeCell ref="N30:O30"/>
    <mergeCell ref="P30:Q30"/>
    <mergeCell ref="R30:S30"/>
    <mergeCell ref="T30:U30"/>
    <mergeCell ref="V30:W30"/>
    <mergeCell ref="L29:M29"/>
    <mergeCell ref="N29:O29"/>
    <mergeCell ref="P29:Q29"/>
    <mergeCell ref="R29:S29"/>
    <mergeCell ref="T29:U29"/>
    <mergeCell ref="V29:W29"/>
    <mergeCell ref="X30:Y30"/>
    <mergeCell ref="Z30:AA30"/>
    <mergeCell ref="AB30:AC30"/>
    <mergeCell ref="AD30:AE30"/>
    <mergeCell ref="AD31:AE31"/>
    <mergeCell ref="L32:M32"/>
    <mergeCell ref="N32:O32"/>
    <mergeCell ref="P32:Q32"/>
    <mergeCell ref="R32:S32"/>
    <mergeCell ref="T32:U32"/>
    <mergeCell ref="V32:W32"/>
    <mergeCell ref="X33:Y33"/>
    <mergeCell ref="Z33:AA33"/>
    <mergeCell ref="AB33:AC33"/>
    <mergeCell ref="AD33:AE33"/>
    <mergeCell ref="L31:M31"/>
    <mergeCell ref="N31:O31"/>
    <mergeCell ref="P31:Q31"/>
    <mergeCell ref="R31:S31"/>
    <mergeCell ref="T31:U31"/>
    <mergeCell ref="V31:W31"/>
    <mergeCell ref="X31:Y31"/>
    <mergeCell ref="Z31:AA31"/>
    <mergeCell ref="AB31:AC31"/>
    <mergeCell ref="X32:Y32"/>
    <mergeCell ref="Z32:AA32"/>
    <mergeCell ref="AB32:AC32"/>
    <mergeCell ref="AD32:AE32"/>
    <mergeCell ref="B45:C48"/>
    <mergeCell ref="AC45:AD45"/>
    <mergeCell ref="AA46:AC46"/>
    <mergeCell ref="AA47:AC47"/>
    <mergeCell ref="L37:M39"/>
    <mergeCell ref="N37:S38"/>
    <mergeCell ref="T37:W39"/>
    <mergeCell ref="X37:AA39"/>
    <mergeCell ref="AB37:AE39"/>
    <mergeCell ref="N39:P39"/>
    <mergeCell ref="Q39:S39"/>
    <mergeCell ref="N40:P40"/>
    <mergeCell ref="Q40:S40"/>
    <mergeCell ref="X41:AA41"/>
    <mergeCell ref="AB41:AE41"/>
    <mergeCell ref="J45:L45"/>
    <mergeCell ref="O45:P45"/>
    <mergeCell ref="T40:W40"/>
    <mergeCell ref="X40:AA40"/>
    <mergeCell ref="AB40:AE40"/>
    <mergeCell ref="N41:P41"/>
    <mergeCell ref="Q41:S41"/>
    <mergeCell ref="T41:W41"/>
    <mergeCell ref="S45:T45"/>
    <mergeCell ref="L40:M40"/>
    <mergeCell ref="L41:M41"/>
    <mergeCell ref="L33:M33"/>
    <mergeCell ref="N33:O33"/>
    <mergeCell ref="P33:Q33"/>
    <mergeCell ref="R33:S33"/>
    <mergeCell ref="T33:U33"/>
    <mergeCell ref="V33:W33"/>
    <mergeCell ref="AA48:AC48"/>
    <mergeCell ref="W45:X45"/>
    <mergeCell ref="L22:M22"/>
    <mergeCell ref="N22:O22"/>
    <mergeCell ref="P22:Q22"/>
    <mergeCell ref="R22:S22"/>
    <mergeCell ref="T22:U22"/>
    <mergeCell ref="V22:W22"/>
    <mergeCell ref="L23:Y23"/>
    <mergeCell ref="L18:M20"/>
    <mergeCell ref="N18:Q19"/>
    <mergeCell ref="R18:S20"/>
    <mergeCell ref="T18:U20"/>
    <mergeCell ref="V18:W20"/>
    <mergeCell ref="N20:O20"/>
    <mergeCell ref="P20:Q20"/>
    <mergeCell ref="L21:M21"/>
    <mergeCell ref="N21:O21"/>
    <mergeCell ref="P21:Q21"/>
    <mergeCell ref="R21:S21"/>
    <mergeCell ref="T21:U21"/>
    <mergeCell ref="V21:W21"/>
  </mergeCells>
  <phoneticPr fontId="4"/>
  <conditionalFormatting sqref="B8:Y14">
    <cfRule type="expression" dxfId="47" priority="183" stopIfTrue="1">
      <formula>$AH$3&lt;&gt;2</formula>
    </cfRule>
  </conditionalFormatting>
  <conditionalFormatting sqref="J45">
    <cfRule type="expression" dxfId="46" priority="1288" stopIfTrue="1">
      <formula>$J$45=0</formula>
    </cfRule>
  </conditionalFormatting>
  <conditionalFormatting sqref="J45:L45">
    <cfRule type="expression" dxfId="45" priority="359">
      <formula>$AH$3&lt;&gt;2</formula>
    </cfRule>
  </conditionalFormatting>
  <conditionalFormatting sqref="L29:Q33">
    <cfRule type="expression" dxfId="44" priority="101" stopIfTrue="1">
      <formula>$AH$3&lt;&gt;2</formula>
    </cfRule>
  </conditionalFormatting>
  <conditionalFormatting sqref="L21:Y22">
    <cfRule type="expression" dxfId="43" priority="155" stopIfTrue="1">
      <formula>$AH$3&lt;&gt;2</formula>
    </cfRule>
  </conditionalFormatting>
  <conditionalFormatting sqref="L40:AA41">
    <cfRule type="expression" dxfId="42" priority="63" stopIfTrue="1">
      <formula>$AH$3&lt;&gt;2</formula>
    </cfRule>
  </conditionalFormatting>
  <conditionalFormatting sqref="O45:P45">
    <cfRule type="expression" dxfId="41" priority="358">
      <formula>$AH$3&lt;&gt;2</formula>
    </cfRule>
    <cfRule type="expression" dxfId="40" priority="1289" stopIfTrue="1">
      <formula>$O$45=0</formula>
    </cfRule>
  </conditionalFormatting>
  <conditionalFormatting sqref="R29:S33">
    <cfRule type="expression" dxfId="39" priority="11">
      <formula>$AH$3&lt;&gt;2</formula>
    </cfRule>
  </conditionalFormatting>
  <conditionalFormatting sqref="S45:T45">
    <cfRule type="expression" dxfId="38" priority="357">
      <formula>$AH$3&lt;&gt;2</formula>
    </cfRule>
    <cfRule type="expression" dxfId="37" priority="1287" stopIfTrue="1">
      <formula>$S$45=0</formula>
    </cfRule>
  </conditionalFormatting>
  <conditionalFormatting sqref="T8:Y14">
    <cfRule type="expression" dxfId="36" priority="351">
      <formula>$AL8=TRUE</formula>
    </cfRule>
  </conditionalFormatting>
  <conditionalFormatting sqref="T29:Y33">
    <cfRule type="expression" dxfId="35" priority="95" stopIfTrue="1">
      <formula>$AH$3&lt;&gt;2</formula>
    </cfRule>
  </conditionalFormatting>
  <conditionalFormatting sqref="W45:X45">
    <cfRule type="expression" dxfId="34" priority="356">
      <formula>$AH$3&lt;&gt;2</formula>
    </cfRule>
  </conditionalFormatting>
  <conditionalFormatting sqref="Z4:AC4">
    <cfRule type="expression" dxfId="33" priority="61">
      <formula>$AH$3&lt;&gt;2</formula>
    </cfRule>
  </conditionalFormatting>
  <conditionalFormatting sqref="Z8:AE15">
    <cfRule type="expression" dxfId="32" priority="37">
      <formula>$AH$3&lt;&gt;2</formula>
    </cfRule>
  </conditionalFormatting>
  <conditionalFormatting sqref="Z21:AE23">
    <cfRule type="expression" dxfId="31" priority="28">
      <formula>$AH$3&lt;&gt;2</formula>
    </cfRule>
  </conditionalFormatting>
  <conditionalFormatting sqref="Z29:AE34">
    <cfRule type="expression" dxfId="30" priority="5">
      <formula>$AH$3&lt;&gt;2</formula>
    </cfRule>
  </conditionalFormatting>
  <conditionalFormatting sqref="AA46:AC48">
    <cfRule type="expression" dxfId="29" priority="1">
      <formula>$AH$3&lt;&gt;2</formula>
    </cfRule>
  </conditionalFormatting>
  <conditionalFormatting sqref="AB40:AE41">
    <cfRule type="expression" dxfId="28" priority="3">
      <formula>$AH$3&lt;&gt;2</formula>
    </cfRule>
  </conditionalFormatting>
  <conditionalFormatting sqref="AC45:AD45">
    <cfRule type="expression" dxfId="27" priority="355">
      <formula>$AH$3&lt;&gt;2</formula>
    </cfRule>
  </conditionalFormatting>
  <conditionalFormatting sqref="AE8:AE14">
    <cfRule type="expression" dxfId="26" priority="395">
      <formula>$AH$3&lt;&gt;2</formula>
    </cfRule>
  </conditionalFormatting>
  <conditionalFormatting sqref="AE40:AE42">
    <cfRule type="expression" dxfId="25" priority="360">
      <formula>$AH$3&lt;&gt;2</formula>
    </cfRule>
  </conditionalFormatting>
  <dataValidations count="3">
    <dataValidation type="list" showInputMessage="1" showErrorMessage="1" sqref="V29:W33 X40:X41 P8:Q14 V21:W22" xr:uid="{00000000-0002-0000-0800-000000000000}">
      <formula1>"1.0,0.7,0.05,0.15,0"</formula1>
    </dataValidation>
    <dataValidation type="list" allowBlank="1" showInputMessage="1" showErrorMessage="1" sqref="N8:N14 T21:T22" xr:uid="{00000000-0002-0000-0800-000001000000}">
      <formula1>"　,雨戸,ｼｬｯﾀｰ,障子,風除室"</formula1>
    </dataValidation>
    <dataValidation type="list" allowBlank="1" showInputMessage="1" showErrorMessage="1" sqref="T40:T41" xr:uid="{00000000-0002-0000-0800-000002000000}">
      <formula1>"4.55,17.0"</formula1>
    </dataValidation>
  </dataValidations>
  <pageMargins left="0.70866141732283472" right="0.70866141732283472" top="0.74803149606299213" bottom="0.74803149606299213" header="0.31496062992125984" footer="0.31496062992125984"/>
  <pageSetup paperSize="9" scale="76" orientation="portrait" r:id="rId1"/>
  <headerFooter>
    <oddHeader xml:space="preserve">&amp;RVer3.6
</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17</xdr:col>
                    <xdr:colOff>190500</xdr:colOff>
                    <xdr:row>7</xdr:row>
                    <xdr:rowOff>47625</xdr:rowOff>
                  </from>
                  <to>
                    <xdr:col>18</xdr:col>
                    <xdr:colOff>200025</xdr:colOff>
                    <xdr:row>7</xdr:row>
                    <xdr:rowOff>257175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17</xdr:col>
                    <xdr:colOff>190500</xdr:colOff>
                    <xdr:row>8</xdr:row>
                    <xdr:rowOff>47625</xdr:rowOff>
                  </from>
                  <to>
                    <xdr:col>18</xdr:col>
                    <xdr:colOff>200025</xdr:colOff>
                    <xdr:row>8</xdr:row>
                    <xdr:rowOff>257175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190500</xdr:colOff>
                    <xdr:row>11</xdr:row>
                    <xdr:rowOff>47625</xdr:rowOff>
                  </from>
                  <to>
                    <xdr:col>18</xdr:col>
                    <xdr:colOff>200025</xdr:colOff>
                    <xdr:row>11</xdr:row>
                    <xdr:rowOff>257175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17</xdr:col>
                    <xdr:colOff>190500</xdr:colOff>
                    <xdr:row>12</xdr:row>
                    <xdr:rowOff>38100</xdr:rowOff>
                  </from>
                  <to>
                    <xdr:col>18</xdr:col>
                    <xdr:colOff>200025</xdr:colOff>
                    <xdr:row>12</xdr:row>
                    <xdr:rowOff>247650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17</xdr:col>
                    <xdr:colOff>190500</xdr:colOff>
                    <xdr:row>13</xdr:row>
                    <xdr:rowOff>47625</xdr:rowOff>
                  </from>
                  <to>
                    <xdr:col>18</xdr:col>
                    <xdr:colOff>200025</xdr:colOff>
                    <xdr:row>13</xdr:row>
                    <xdr:rowOff>257175</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23</xdr:col>
                    <xdr:colOff>190500</xdr:colOff>
                    <xdr:row>28</xdr:row>
                    <xdr:rowOff>47625</xdr:rowOff>
                  </from>
                  <to>
                    <xdr:col>24</xdr:col>
                    <xdr:colOff>200025</xdr:colOff>
                    <xdr:row>28</xdr:row>
                    <xdr:rowOff>257175</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23</xdr:col>
                    <xdr:colOff>190500</xdr:colOff>
                    <xdr:row>29</xdr:row>
                    <xdr:rowOff>47625</xdr:rowOff>
                  </from>
                  <to>
                    <xdr:col>24</xdr:col>
                    <xdr:colOff>200025</xdr:colOff>
                    <xdr:row>29</xdr:row>
                    <xdr:rowOff>257175</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23</xdr:col>
                    <xdr:colOff>190500</xdr:colOff>
                    <xdr:row>32</xdr:row>
                    <xdr:rowOff>38100</xdr:rowOff>
                  </from>
                  <to>
                    <xdr:col>24</xdr:col>
                    <xdr:colOff>200025</xdr:colOff>
                    <xdr:row>32</xdr:row>
                    <xdr:rowOff>247650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17</xdr:col>
                    <xdr:colOff>190500</xdr:colOff>
                    <xdr:row>9</xdr:row>
                    <xdr:rowOff>47625</xdr:rowOff>
                  </from>
                  <to>
                    <xdr:col>18</xdr:col>
                    <xdr:colOff>200025</xdr:colOff>
                    <xdr:row>9</xdr:row>
                    <xdr:rowOff>257175</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17</xdr:col>
                    <xdr:colOff>190500</xdr:colOff>
                    <xdr:row>10</xdr:row>
                    <xdr:rowOff>47625</xdr:rowOff>
                  </from>
                  <to>
                    <xdr:col>18</xdr:col>
                    <xdr:colOff>200025</xdr:colOff>
                    <xdr:row>10</xdr:row>
                    <xdr:rowOff>257175</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23</xdr:col>
                    <xdr:colOff>190500</xdr:colOff>
                    <xdr:row>30</xdr:row>
                    <xdr:rowOff>47625</xdr:rowOff>
                  </from>
                  <to>
                    <xdr:col>24</xdr:col>
                    <xdr:colOff>200025</xdr:colOff>
                    <xdr:row>30</xdr:row>
                    <xdr:rowOff>257175</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23</xdr:col>
                    <xdr:colOff>190500</xdr:colOff>
                    <xdr:row>31</xdr:row>
                    <xdr:rowOff>47625</xdr:rowOff>
                  </from>
                  <to>
                    <xdr:col>24</xdr:col>
                    <xdr:colOff>200025</xdr:colOff>
                    <xdr:row>31</xdr:row>
                    <xdr:rowOff>257175</xdr:rowOff>
                  </to>
                </anchor>
              </controlPr>
            </control>
          </mc:Choice>
        </mc:AlternateContent>
        <mc:AlternateContent xmlns:mc="http://schemas.openxmlformats.org/markup-compatibility/2006">
          <mc:Choice Requires="x14">
            <control shapeId="153613" r:id="rId16" name="Check Box 13">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3614" r:id="rId17" name="Check Box 14">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mc:AlternateContent xmlns:mc="http://schemas.openxmlformats.org/markup-compatibility/2006">
          <mc:Choice Requires="x14">
            <control shapeId="153615" r:id="rId18" name="Check Box 15">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3616" r:id="rId19" name="Check Box 16">
              <controlPr defaultSize="0" autoFill="0" autoLine="0" autoPict="0">
                <anchor moveWithCells="1">
                  <from>
                    <xdr:col>9</xdr:col>
                    <xdr:colOff>190500</xdr:colOff>
                    <xdr:row>8</xdr:row>
                    <xdr:rowOff>47625</xdr:rowOff>
                  </from>
                  <to>
                    <xdr:col>10</xdr:col>
                    <xdr:colOff>200025</xdr:colOff>
                    <xdr:row>8</xdr:row>
                    <xdr:rowOff>257175</xdr:rowOff>
                  </to>
                </anchor>
              </controlPr>
            </control>
          </mc:Choice>
        </mc:AlternateContent>
        <mc:AlternateContent xmlns:mc="http://schemas.openxmlformats.org/markup-compatibility/2006">
          <mc:Choice Requires="x14">
            <control shapeId="153617" r:id="rId20" name="Check Box 17">
              <controlPr defaultSize="0" autoFill="0" autoLine="0" autoPict="0">
                <anchor moveWithCells="1">
                  <from>
                    <xdr:col>9</xdr:col>
                    <xdr:colOff>190500</xdr:colOff>
                    <xdr:row>9</xdr:row>
                    <xdr:rowOff>47625</xdr:rowOff>
                  </from>
                  <to>
                    <xdr:col>10</xdr:col>
                    <xdr:colOff>200025</xdr:colOff>
                    <xdr:row>9</xdr:row>
                    <xdr:rowOff>257175</xdr:rowOff>
                  </to>
                </anchor>
              </controlPr>
            </control>
          </mc:Choice>
        </mc:AlternateContent>
        <mc:AlternateContent xmlns:mc="http://schemas.openxmlformats.org/markup-compatibility/2006">
          <mc:Choice Requires="x14">
            <control shapeId="153618" r:id="rId21" name="Check Box 18">
              <controlPr defaultSize="0" autoFill="0" autoLine="0" autoPict="0">
                <anchor moveWithCells="1">
                  <from>
                    <xdr:col>9</xdr:col>
                    <xdr:colOff>190500</xdr:colOff>
                    <xdr:row>10</xdr:row>
                    <xdr:rowOff>47625</xdr:rowOff>
                  </from>
                  <to>
                    <xdr:col>10</xdr:col>
                    <xdr:colOff>200025</xdr:colOff>
                    <xdr:row>10</xdr:row>
                    <xdr:rowOff>257175</xdr:rowOff>
                  </to>
                </anchor>
              </controlPr>
            </control>
          </mc:Choice>
        </mc:AlternateContent>
        <mc:AlternateContent xmlns:mc="http://schemas.openxmlformats.org/markup-compatibility/2006">
          <mc:Choice Requires="x14">
            <control shapeId="153619" r:id="rId22" name="Check Box 19">
              <controlPr defaultSize="0" autoFill="0" autoLine="0" autoPict="0">
                <anchor moveWithCells="1">
                  <from>
                    <xdr:col>9</xdr:col>
                    <xdr:colOff>190500</xdr:colOff>
                    <xdr:row>13</xdr:row>
                    <xdr:rowOff>38100</xdr:rowOff>
                  </from>
                  <to>
                    <xdr:col>10</xdr:col>
                    <xdr:colOff>200025</xdr:colOff>
                    <xdr:row>13</xdr:row>
                    <xdr:rowOff>247650</xdr:rowOff>
                  </to>
                </anchor>
              </controlPr>
            </control>
          </mc:Choice>
        </mc:AlternateContent>
        <mc:AlternateContent xmlns:mc="http://schemas.openxmlformats.org/markup-compatibility/2006">
          <mc:Choice Requires="x14">
            <control shapeId="153620" r:id="rId23" name="Check Box 20">
              <controlPr defaultSize="0" autoFill="0" autoLine="0" autoPict="0">
                <anchor moveWithCells="1">
                  <from>
                    <xdr:col>9</xdr:col>
                    <xdr:colOff>190500</xdr:colOff>
                    <xdr:row>11</xdr:row>
                    <xdr:rowOff>47625</xdr:rowOff>
                  </from>
                  <to>
                    <xdr:col>10</xdr:col>
                    <xdr:colOff>200025</xdr:colOff>
                    <xdr:row>11</xdr:row>
                    <xdr:rowOff>257175</xdr:rowOff>
                  </to>
                </anchor>
              </controlPr>
            </control>
          </mc:Choice>
        </mc:AlternateContent>
        <mc:AlternateContent xmlns:mc="http://schemas.openxmlformats.org/markup-compatibility/2006">
          <mc:Choice Requires="x14">
            <control shapeId="153621" r:id="rId24" name="Check Box 21">
              <controlPr defaultSize="0" autoFill="0" autoLine="0" autoPict="0">
                <anchor moveWithCells="1">
                  <from>
                    <xdr:col>9</xdr:col>
                    <xdr:colOff>190500</xdr:colOff>
                    <xdr:row>12</xdr:row>
                    <xdr:rowOff>47625</xdr:rowOff>
                  </from>
                  <to>
                    <xdr:col>10</xdr:col>
                    <xdr:colOff>200025</xdr:colOff>
                    <xdr:row>12</xdr:row>
                    <xdr:rowOff>257175</xdr:rowOff>
                  </to>
                </anchor>
              </controlPr>
            </control>
          </mc:Choice>
        </mc:AlternateContent>
        <mc:AlternateContent xmlns:mc="http://schemas.openxmlformats.org/markup-compatibility/2006">
          <mc:Choice Requires="x14">
            <control shapeId="153636" r:id="rId25" name="Check Box 36">
              <controlPr defaultSize="0" autoFill="0" autoLine="0" autoPict="0">
                <anchor moveWithCells="1">
                  <from>
                    <xdr:col>9</xdr:col>
                    <xdr:colOff>190500</xdr:colOff>
                    <xdr:row>7</xdr:row>
                    <xdr:rowOff>47625</xdr:rowOff>
                  </from>
                  <to>
                    <xdr:col>10</xdr:col>
                    <xdr:colOff>200025</xdr:colOff>
                    <xdr:row>7</xdr:row>
                    <xdr:rowOff>257175</xdr:rowOff>
                  </to>
                </anchor>
              </controlPr>
            </control>
          </mc:Choice>
        </mc:AlternateContent>
        <mc:AlternateContent xmlns:mc="http://schemas.openxmlformats.org/markup-compatibility/2006">
          <mc:Choice Requires="x14">
            <control shapeId="153637" r:id="rId26" name="Check Box 37">
              <controlPr defaultSize="0" autoFill="0" autoLine="0" autoPict="0">
                <anchor moveWithCells="1">
                  <from>
                    <xdr:col>23</xdr:col>
                    <xdr:colOff>190500</xdr:colOff>
                    <xdr:row>20</xdr:row>
                    <xdr:rowOff>47625</xdr:rowOff>
                  </from>
                  <to>
                    <xdr:col>24</xdr:col>
                    <xdr:colOff>200025</xdr:colOff>
                    <xdr:row>20</xdr:row>
                    <xdr:rowOff>257175</xdr:rowOff>
                  </to>
                </anchor>
              </controlPr>
            </control>
          </mc:Choice>
        </mc:AlternateContent>
        <mc:AlternateContent xmlns:mc="http://schemas.openxmlformats.org/markup-compatibility/2006">
          <mc:Choice Requires="x14">
            <control shapeId="153638" r:id="rId27" name="Check Box 38">
              <controlPr defaultSize="0" autoFill="0" autoLine="0" autoPict="0">
                <anchor moveWithCells="1">
                  <from>
                    <xdr:col>23</xdr:col>
                    <xdr:colOff>190500</xdr:colOff>
                    <xdr:row>21</xdr:row>
                    <xdr:rowOff>47625</xdr:rowOff>
                  </from>
                  <to>
                    <xdr:col>24</xdr:col>
                    <xdr:colOff>200025</xdr:colOff>
                    <xdr:row>21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30</vt:i4>
      </vt:variant>
    </vt:vector>
  </HeadingPairs>
  <TitlesOfParts>
    <vt:vector size="47" baseType="lpstr">
      <vt:lpstr>共通条件・結果</vt:lpstr>
      <vt:lpstr>Ａ（北）</vt:lpstr>
      <vt:lpstr>Ａ（北東）</vt:lpstr>
      <vt:lpstr>Ａ（東）</vt:lpstr>
      <vt:lpstr>Ａ（南東）</vt:lpstr>
      <vt:lpstr>Ａ（南）</vt:lpstr>
      <vt:lpstr>Ａ（南西）</vt:lpstr>
      <vt:lpstr>Ａ（西）</vt:lpstr>
      <vt:lpstr>Ａ（北西）</vt:lpstr>
      <vt:lpstr>Ｂ（熱橋部）</vt:lpstr>
      <vt:lpstr>Ｃ（屋根・床等）</vt:lpstr>
      <vt:lpstr>D（基礎）</vt:lpstr>
      <vt:lpstr>【付録】</vt:lpstr>
      <vt:lpstr>外皮計算についてのQ&amp;A</vt:lpstr>
      <vt:lpstr>日射熱取得の考え方</vt:lpstr>
      <vt:lpstr>熱橋の考え方 (H28年)</vt:lpstr>
      <vt:lpstr>更新履歴</vt:lpstr>
      <vt:lpstr>【付録】!Print_Area</vt:lpstr>
      <vt:lpstr>'Ａ（西）'!Print_Area</vt:lpstr>
      <vt:lpstr>'Ａ（東）'!Print_Area</vt:lpstr>
      <vt:lpstr>'Ａ（南）'!Print_Area</vt:lpstr>
      <vt:lpstr>'Ａ（南西）'!Print_Area</vt:lpstr>
      <vt:lpstr>'Ａ（南東）'!Print_Area</vt:lpstr>
      <vt:lpstr>'Ａ（北）'!Print_Area</vt:lpstr>
      <vt:lpstr>'Ａ（北西）'!Print_Area</vt:lpstr>
      <vt:lpstr>'Ａ（北東）'!Print_Area</vt:lpstr>
      <vt:lpstr>'Ｂ（熱橋部）'!Print_Area</vt:lpstr>
      <vt:lpstr>'Ｃ（屋根・床等）'!Print_Area</vt:lpstr>
      <vt:lpstr>'D（基礎）'!Print_Area</vt:lpstr>
      <vt:lpstr>'外皮計算についてのQ&amp;A'!Print_Area</vt:lpstr>
      <vt:lpstr>共通条件・結果!Print_Area</vt:lpstr>
      <vt:lpstr>更新履歴!Print_Area</vt:lpstr>
      <vt:lpstr>日射熱取得の考え方!Print_Area</vt:lpstr>
      <vt:lpstr>'熱橋の考え方 (H28年)'!Print_Area</vt:lpstr>
      <vt:lpstr>'D（基礎）'!夏方位係数</vt:lpstr>
      <vt:lpstr>'Ｂ（熱橋部）'!水平</vt:lpstr>
      <vt:lpstr>'Ｂ（熱橋部）'!西</vt:lpstr>
      <vt:lpstr>'D（基礎）'!冬方位係数</vt:lpstr>
      <vt:lpstr>'Ｂ（熱橋部）'!東</vt:lpstr>
      <vt:lpstr>'Ｂ（熱橋部）'!南</vt:lpstr>
      <vt:lpstr>'Ｂ（熱橋部）'!南西</vt:lpstr>
      <vt:lpstr>'Ｂ（熱橋部）'!南東</vt:lpstr>
      <vt:lpstr>'Ｂ（熱橋部）'!方位</vt:lpstr>
      <vt:lpstr>'D（基礎）'!方位</vt:lpstr>
      <vt:lpstr>'Ｂ（熱橋部）'!北</vt:lpstr>
      <vt:lpstr>'Ｂ（熱橋部）'!北西</vt:lpstr>
      <vt:lpstr>'Ｂ（熱橋部）'!北東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suito</dc:creator>
  <cp:lastModifiedBy>011</cp:lastModifiedBy>
  <cp:lastPrinted>2025-04-08T07:58:24Z</cp:lastPrinted>
  <dcterms:created xsi:type="dcterms:W3CDTF">2001-06-12T05:58:42Z</dcterms:created>
  <dcterms:modified xsi:type="dcterms:W3CDTF">2025-08-25T01:03:15Z</dcterms:modified>
</cp:coreProperties>
</file>